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330" windowWidth="14940" windowHeight="9090"/>
  </bookViews>
  <sheets>
    <sheet name="norm data" sheetId="4" r:id="rId1"/>
  </sheets>
  <calcPr calcId="144525"/>
</workbook>
</file>

<file path=xl/calcChain.xml><?xml version="1.0" encoding="utf-8"?>
<calcChain xmlns="http://schemas.openxmlformats.org/spreadsheetml/2006/main">
  <c r="D352" i="4" l="1"/>
  <c r="D351" i="4"/>
  <c r="D350" i="4"/>
  <c r="D349" i="4"/>
  <c r="D348" i="4"/>
  <c r="D347" i="4"/>
  <c r="D346" i="4"/>
  <c r="D345" i="4"/>
  <c r="D344" i="4"/>
  <c r="D343" i="4"/>
  <c r="D342" i="4"/>
  <c r="D341" i="4"/>
  <c r="D340" i="4"/>
  <c r="D339" i="4"/>
  <c r="D338" i="4"/>
  <c r="D337" i="4"/>
  <c r="D336" i="4"/>
  <c r="D335" i="4"/>
  <c r="D334" i="4"/>
  <c r="D333" i="4"/>
  <c r="D332" i="4"/>
  <c r="D331" i="4"/>
  <c r="D330" i="4"/>
  <c r="D329" i="4"/>
  <c r="D328" i="4"/>
  <c r="D327" i="4"/>
  <c r="D326" i="4"/>
  <c r="D325" i="4"/>
  <c r="D324" i="4"/>
  <c r="D323" i="4"/>
  <c r="D322" i="4"/>
  <c r="D321" i="4"/>
  <c r="D320" i="4"/>
  <c r="D319" i="4"/>
  <c r="D318" i="4"/>
  <c r="D317" i="4"/>
  <c r="D316" i="4"/>
  <c r="D315" i="4"/>
  <c r="D314" i="4"/>
  <c r="D313" i="4"/>
  <c r="D312" i="4"/>
  <c r="D311" i="4"/>
  <c r="D310" i="4"/>
  <c r="D309" i="4"/>
  <c r="D308" i="4"/>
  <c r="D307" i="4"/>
  <c r="D306" i="4"/>
  <c r="D305" i="4"/>
  <c r="D304" i="4"/>
  <c r="D303" i="4"/>
  <c r="D302" i="4"/>
  <c r="D301" i="4"/>
  <c r="D300" i="4"/>
  <c r="D299" i="4"/>
  <c r="D298" i="4"/>
  <c r="D297" i="4"/>
  <c r="D296" i="4"/>
  <c r="D295" i="4"/>
  <c r="D294" i="4"/>
  <c r="D293" i="4"/>
  <c r="D292" i="4"/>
  <c r="D291" i="4"/>
  <c r="D290" i="4"/>
  <c r="D289" i="4"/>
  <c r="D288" i="4"/>
  <c r="D287" i="4"/>
  <c r="D286" i="4"/>
  <c r="D285" i="4"/>
  <c r="D284" i="4"/>
  <c r="D283" i="4"/>
  <c r="D282" i="4"/>
  <c r="D281" i="4"/>
  <c r="D280" i="4"/>
  <c r="D279" i="4"/>
  <c r="D278" i="4"/>
  <c r="D277" i="4"/>
  <c r="D276" i="4"/>
  <c r="D275" i="4"/>
  <c r="D274" i="4"/>
  <c r="D273" i="4"/>
  <c r="D272" i="4"/>
  <c r="D271" i="4"/>
  <c r="D270" i="4"/>
  <c r="D269" i="4"/>
  <c r="D268" i="4"/>
  <c r="D267" i="4"/>
  <c r="D266" i="4"/>
  <c r="D265" i="4"/>
  <c r="D264" i="4"/>
  <c r="D263" i="4"/>
  <c r="D262" i="4"/>
  <c r="D261" i="4"/>
  <c r="D260" i="4"/>
  <c r="D259" i="4"/>
  <c r="D258" i="4"/>
  <c r="D257" i="4"/>
  <c r="D256" i="4"/>
  <c r="D255" i="4"/>
  <c r="D254" i="4"/>
  <c r="D253" i="4"/>
  <c r="D252" i="4"/>
  <c r="D251" i="4"/>
  <c r="D250" i="4"/>
  <c r="D249" i="4"/>
  <c r="D248" i="4"/>
  <c r="D247" i="4"/>
  <c r="D246" i="4"/>
  <c r="D245" i="4"/>
  <c r="D244" i="4"/>
  <c r="D243" i="4"/>
  <c r="D242" i="4"/>
  <c r="D241" i="4"/>
  <c r="D240" i="4"/>
  <c r="D239" i="4"/>
  <c r="D238" i="4"/>
  <c r="D237" i="4"/>
  <c r="D236" i="4"/>
  <c r="D235" i="4"/>
  <c r="D234" i="4"/>
  <c r="D233" i="4"/>
  <c r="D232" i="4"/>
  <c r="D231" i="4"/>
  <c r="D230" i="4"/>
  <c r="D229" i="4"/>
  <c r="D228" i="4"/>
  <c r="D227" i="4"/>
  <c r="D226" i="4"/>
  <c r="D225" i="4"/>
  <c r="D224" i="4"/>
  <c r="D223" i="4"/>
  <c r="D222" i="4"/>
  <c r="D221" i="4"/>
  <c r="D220" i="4"/>
  <c r="D219" i="4"/>
  <c r="D218" i="4"/>
  <c r="D217" i="4"/>
  <c r="D216" i="4"/>
  <c r="D215" i="4"/>
  <c r="D214" i="4"/>
  <c r="D213" i="4"/>
  <c r="D212" i="4"/>
  <c r="D211" i="4"/>
  <c r="D210" i="4"/>
  <c r="D209" i="4"/>
  <c r="D208" i="4"/>
  <c r="D207" i="4"/>
  <c r="D206" i="4"/>
  <c r="D205" i="4"/>
  <c r="D204" i="4"/>
  <c r="D203" i="4"/>
  <c r="D202" i="4"/>
  <c r="D201" i="4"/>
  <c r="D200" i="4"/>
  <c r="D199" i="4"/>
  <c r="D198" i="4"/>
  <c r="D197" i="4"/>
  <c r="D196" i="4"/>
  <c r="D195" i="4"/>
  <c r="D194" i="4"/>
  <c r="D193" i="4"/>
  <c r="D192" i="4"/>
  <c r="D191" i="4"/>
  <c r="D190" i="4"/>
  <c r="D189" i="4"/>
  <c r="D188" i="4"/>
  <c r="D187" i="4"/>
  <c r="D186" i="4"/>
  <c r="D185" i="4"/>
  <c r="D184" i="4"/>
  <c r="D183" i="4"/>
  <c r="D182" i="4"/>
  <c r="D181" i="4"/>
  <c r="D180" i="4"/>
  <c r="D179" i="4"/>
  <c r="D178" i="4"/>
  <c r="D177" i="4"/>
  <c r="D176" i="4"/>
  <c r="D175" i="4"/>
  <c r="D174" i="4"/>
  <c r="D173" i="4"/>
  <c r="D172" i="4"/>
  <c r="D171" i="4"/>
  <c r="D170" i="4"/>
  <c r="D169" i="4"/>
  <c r="D168" i="4"/>
  <c r="D167" i="4"/>
  <c r="D166" i="4"/>
  <c r="D165" i="4"/>
  <c r="D164" i="4"/>
  <c r="D163" i="4"/>
  <c r="D162" i="4"/>
  <c r="D161" i="4"/>
  <c r="D160" i="4"/>
  <c r="D159" i="4"/>
  <c r="D158" i="4"/>
  <c r="D157" i="4"/>
  <c r="D156" i="4"/>
  <c r="D155" i="4"/>
  <c r="D154" i="4"/>
  <c r="D153" i="4"/>
  <c r="D152" i="4"/>
  <c r="D151" i="4"/>
  <c r="D150" i="4"/>
  <c r="D149" i="4"/>
  <c r="D148" i="4"/>
  <c r="D147" i="4"/>
  <c r="D146" i="4"/>
  <c r="D145" i="4"/>
  <c r="D144" i="4"/>
  <c r="D143" i="4"/>
  <c r="D142" i="4"/>
  <c r="D141" i="4"/>
  <c r="D140" i="4"/>
  <c r="D139" i="4"/>
  <c r="D138" i="4"/>
  <c r="D137" i="4"/>
  <c r="D136" i="4"/>
  <c r="D135" i="4"/>
  <c r="D134" i="4"/>
  <c r="D133" i="4"/>
  <c r="D132" i="4"/>
  <c r="D131" i="4"/>
  <c r="D130" i="4"/>
  <c r="D129" i="4"/>
  <c r="D128" i="4"/>
  <c r="D127" i="4"/>
  <c r="D126" i="4"/>
  <c r="D125" i="4"/>
  <c r="D124" i="4"/>
  <c r="D123" i="4"/>
  <c r="G122" i="4"/>
  <c r="F122" i="4"/>
  <c r="D122" i="4"/>
  <c r="G121" i="4"/>
  <c r="F121" i="4"/>
  <c r="D121" i="4"/>
  <c r="G120" i="4"/>
  <c r="F120" i="4"/>
  <c r="D120" i="4"/>
  <c r="G119" i="4"/>
  <c r="F119" i="4"/>
  <c r="D119" i="4"/>
  <c r="G118" i="4"/>
  <c r="F118" i="4"/>
  <c r="D118" i="4"/>
  <c r="G117" i="4"/>
  <c r="F117" i="4"/>
  <c r="D117" i="4"/>
  <c r="G116" i="4"/>
  <c r="F116" i="4"/>
  <c r="D116" i="4"/>
  <c r="G115" i="4"/>
  <c r="F115" i="4"/>
  <c r="D115" i="4"/>
  <c r="G114" i="4"/>
  <c r="F114" i="4"/>
  <c r="D114" i="4"/>
  <c r="G113" i="4"/>
  <c r="F113" i="4"/>
  <c r="D113" i="4"/>
  <c r="G112" i="4"/>
  <c r="F112" i="4"/>
  <c r="D112" i="4"/>
  <c r="G111" i="4"/>
  <c r="F111" i="4"/>
  <c r="D111" i="4"/>
  <c r="G110" i="4"/>
  <c r="F110" i="4"/>
  <c r="D110" i="4"/>
  <c r="G109" i="4"/>
  <c r="F109" i="4"/>
  <c r="D109" i="4"/>
  <c r="G108" i="4"/>
  <c r="F108" i="4"/>
  <c r="D108" i="4"/>
  <c r="G107" i="4"/>
  <c r="F107" i="4"/>
  <c r="D107" i="4"/>
  <c r="G106" i="4"/>
  <c r="F106" i="4"/>
  <c r="D106" i="4"/>
  <c r="G105" i="4"/>
  <c r="F105" i="4"/>
  <c r="D105" i="4"/>
  <c r="G104" i="4"/>
  <c r="F104" i="4"/>
  <c r="D104" i="4"/>
  <c r="G103" i="4"/>
  <c r="F103" i="4"/>
  <c r="D103" i="4"/>
  <c r="G102" i="4"/>
  <c r="D102" i="4"/>
  <c r="G101" i="4"/>
  <c r="F101" i="4"/>
  <c r="D101" i="4"/>
  <c r="G100" i="4"/>
  <c r="F100" i="4"/>
  <c r="D100" i="4"/>
  <c r="G99" i="4"/>
  <c r="F99" i="4"/>
  <c r="D99" i="4"/>
  <c r="G98" i="4"/>
  <c r="F98" i="4"/>
  <c r="D98" i="4"/>
  <c r="G97" i="4"/>
  <c r="F97" i="4"/>
  <c r="D97" i="4"/>
  <c r="G96" i="4"/>
  <c r="F96" i="4"/>
  <c r="D96" i="4"/>
  <c r="G95" i="4"/>
  <c r="F95" i="4"/>
  <c r="D95" i="4"/>
  <c r="G94" i="4"/>
  <c r="F94" i="4"/>
  <c r="D94" i="4"/>
  <c r="G93" i="4"/>
  <c r="F93" i="4"/>
  <c r="D93" i="4"/>
  <c r="G92" i="4"/>
  <c r="F92" i="4"/>
  <c r="D92" i="4"/>
  <c r="G91" i="4"/>
  <c r="F91" i="4"/>
  <c r="D91" i="4"/>
  <c r="G90" i="4"/>
  <c r="F90" i="4"/>
  <c r="D90" i="4"/>
  <c r="G89" i="4"/>
  <c r="F89" i="4"/>
  <c r="D89" i="4"/>
  <c r="G88" i="4"/>
  <c r="F88" i="4"/>
  <c r="D88" i="4"/>
  <c r="G87" i="4"/>
  <c r="F87" i="4"/>
  <c r="D87" i="4"/>
  <c r="G86" i="4"/>
  <c r="F86" i="4"/>
  <c r="D86" i="4"/>
  <c r="G85" i="4"/>
  <c r="F85" i="4"/>
  <c r="D85" i="4"/>
  <c r="G84" i="4"/>
  <c r="F84" i="4"/>
  <c r="D84" i="4"/>
  <c r="G83" i="4"/>
  <c r="F83" i="4"/>
  <c r="D83" i="4"/>
  <c r="G82" i="4"/>
  <c r="F82" i="4"/>
  <c r="D82" i="4"/>
  <c r="G81" i="4"/>
  <c r="F81" i="4"/>
  <c r="D81" i="4"/>
  <c r="G80" i="4"/>
  <c r="F80" i="4"/>
  <c r="D80" i="4"/>
  <c r="G79" i="4"/>
  <c r="F79" i="4"/>
  <c r="D79" i="4"/>
  <c r="G78" i="4"/>
  <c r="F78" i="4"/>
  <c r="D78" i="4"/>
  <c r="G77" i="4"/>
  <c r="F77" i="4"/>
  <c r="D77" i="4"/>
  <c r="G76" i="4"/>
  <c r="F76" i="4"/>
  <c r="D76" i="4"/>
  <c r="G75" i="4"/>
  <c r="F75" i="4"/>
  <c r="D75" i="4"/>
  <c r="G74" i="4"/>
  <c r="F74" i="4"/>
  <c r="D74" i="4"/>
  <c r="G73" i="4"/>
  <c r="F73" i="4"/>
  <c r="D73" i="4"/>
  <c r="G72" i="4"/>
  <c r="F72" i="4"/>
  <c r="D72" i="4"/>
  <c r="G71" i="4"/>
  <c r="F71" i="4"/>
  <c r="D71" i="4"/>
  <c r="G70" i="4"/>
  <c r="F70" i="4"/>
  <c r="D70" i="4"/>
  <c r="G69" i="4"/>
  <c r="F69" i="4"/>
  <c r="D69" i="4"/>
  <c r="G68" i="4"/>
  <c r="F68" i="4"/>
  <c r="D68" i="4"/>
  <c r="G67" i="4"/>
  <c r="F67" i="4"/>
  <c r="D67" i="4"/>
  <c r="G66" i="4"/>
  <c r="F66" i="4"/>
  <c r="D66" i="4"/>
  <c r="G65" i="4"/>
  <c r="F65" i="4"/>
  <c r="D65" i="4"/>
  <c r="G64" i="4"/>
  <c r="F64" i="4"/>
  <c r="D64" i="4"/>
  <c r="G63" i="4"/>
  <c r="F63" i="4"/>
  <c r="D63" i="4"/>
  <c r="G62" i="4"/>
  <c r="F62" i="4"/>
  <c r="D62" i="4"/>
  <c r="G61" i="4"/>
  <c r="F61" i="4"/>
  <c r="D61" i="4"/>
  <c r="G60" i="4"/>
  <c r="F60" i="4"/>
  <c r="D60" i="4"/>
  <c r="G59" i="4"/>
  <c r="F59" i="4"/>
  <c r="D59" i="4"/>
  <c r="G58" i="4"/>
  <c r="F58" i="4"/>
  <c r="D58" i="4"/>
  <c r="G57" i="4"/>
  <c r="F57" i="4"/>
  <c r="D57" i="4"/>
  <c r="G56" i="4"/>
  <c r="F56" i="4"/>
  <c r="D56" i="4"/>
  <c r="G55" i="4"/>
  <c r="F55" i="4"/>
  <c r="D55" i="4"/>
  <c r="G54" i="4"/>
  <c r="F54" i="4"/>
  <c r="D54" i="4"/>
  <c r="G53" i="4"/>
  <c r="F53" i="4"/>
  <c r="D53" i="4"/>
  <c r="G52" i="4"/>
  <c r="F52" i="4"/>
  <c r="D52" i="4"/>
  <c r="G51" i="4"/>
  <c r="F51" i="4"/>
  <c r="D51" i="4"/>
  <c r="G50" i="4"/>
  <c r="F50" i="4"/>
  <c r="D50" i="4"/>
  <c r="G49" i="4"/>
  <c r="F49" i="4"/>
  <c r="D49" i="4"/>
  <c r="G48" i="4"/>
  <c r="F48" i="4"/>
  <c r="D48" i="4"/>
  <c r="G47" i="4"/>
  <c r="F47" i="4"/>
  <c r="D47" i="4"/>
  <c r="G46" i="4"/>
  <c r="F46" i="4"/>
  <c r="D46" i="4"/>
  <c r="G45" i="4"/>
  <c r="F45" i="4"/>
  <c r="D45" i="4"/>
  <c r="G44" i="4"/>
  <c r="F44" i="4"/>
  <c r="D44" i="4"/>
  <c r="G43" i="4"/>
  <c r="F43" i="4"/>
  <c r="D43" i="4"/>
  <c r="G42" i="4"/>
  <c r="F42" i="4"/>
  <c r="D42" i="4"/>
  <c r="G41" i="4"/>
  <c r="F41" i="4"/>
  <c r="D41" i="4"/>
  <c r="G40" i="4"/>
  <c r="F40" i="4"/>
  <c r="D40" i="4"/>
  <c r="G39" i="4"/>
  <c r="F39" i="4"/>
  <c r="D39" i="4"/>
  <c r="G38" i="4"/>
  <c r="F38" i="4"/>
  <c r="D38" i="4"/>
  <c r="G37" i="4"/>
  <c r="F37" i="4"/>
  <c r="D37" i="4"/>
  <c r="G36" i="4"/>
  <c r="F36" i="4"/>
  <c r="D36" i="4"/>
  <c r="G35" i="4"/>
  <c r="F35" i="4"/>
  <c r="D35" i="4"/>
  <c r="G34" i="4"/>
  <c r="F34" i="4"/>
  <c r="D34" i="4"/>
  <c r="G33" i="4"/>
  <c r="F33" i="4"/>
  <c r="D33" i="4"/>
  <c r="G32" i="4"/>
  <c r="F32" i="4"/>
  <c r="D32" i="4"/>
  <c r="G31" i="4"/>
  <c r="F31" i="4"/>
  <c r="D31" i="4"/>
  <c r="G30" i="4"/>
  <c r="F30" i="4"/>
  <c r="D30" i="4"/>
  <c r="G29" i="4"/>
  <c r="F29" i="4"/>
  <c r="D29" i="4"/>
  <c r="G28" i="4"/>
  <c r="F28" i="4"/>
  <c r="D28" i="4"/>
  <c r="G27" i="4"/>
  <c r="F27" i="4"/>
  <c r="D27" i="4"/>
  <c r="G26" i="4"/>
  <c r="F26" i="4"/>
  <c r="D26" i="4"/>
  <c r="G25" i="4"/>
  <c r="F25" i="4"/>
  <c r="D25" i="4"/>
  <c r="G24" i="4"/>
  <c r="F24" i="4"/>
  <c r="D24" i="4"/>
  <c r="G23" i="4"/>
  <c r="F23" i="4"/>
  <c r="D23" i="4"/>
  <c r="G22" i="4"/>
  <c r="F22" i="4"/>
  <c r="D22" i="4"/>
  <c r="G21" i="4"/>
  <c r="F21" i="4"/>
  <c r="D21" i="4"/>
  <c r="G20" i="4"/>
  <c r="F20" i="4"/>
  <c r="D20" i="4"/>
  <c r="G19" i="4"/>
  <c r="F19" i="4"/>
  <c r="D19" i="4"/>
  <c r="G18" i="4"/>
  <c r="F18" i="4"/>
  <c r="D18" i="4"/>
  <c r="G17" i="4"/>
  <c r="F17" i="4"/>
  <c r="D17" i="4"/>
  <c r="G16" i="4"/>
  <c r="F16" i="4"/>
  <c r="D16" i="4"/>
  <c r="G15" i="4"/>
  <c r="F15" i="4"/>
  <c r="D15" i="4"/>
  <c r="G14" i="4"/>
  <c r="F14" i="4"/>
  <c r="D14" i="4"/>
  <c r="G13" i="4"/>
  <c r="F13" i="4"/>
  <c r="D13" i="4"/>
  <c r="G12" i="4"/>
  <c r="F12" i="4"/>
  <c r="D12" i="4"/>
  <c r="G11" i="4"/>
  <c r="F11" i="4"/>
  <c r="D11" i="4"/>
  <c r="G10" i="4"/>
  <c r="F10" i="4"/>
  <c r="D10" i="4"/>
</calcChain>
</file>

<file path=xl/sharedStrings.xml><?xml version="1.0" encoding="utf-8"?>
<sst xmlns="http://schemas.openxmlformats.org/spreadsheetml/2006/main" count="2394" uniqueCount="1443">
  <si>
    <t>69089</t>
  </si>
  <si>
    <t>110624baasa04_1</t>
  </si>
  <si>
    <t>G5-6-1</t>
  </si>
  <si>
    <t>HepG2 cell</t>
  </si>
  <si>
    <t>Human</t>
  </si>
  <si>
    <t>5mM Glucose  - 6 hrs</t>
  </si>
  <si>
    <t>110624baasa18_1</t>
  </si>
  <si>
    <t>G5-6-6</t>
  </si>
  <si>
    <t>110624baasa21_1</t>
  </si>
  <si>
    <t>G5-6-5</t>
  </si>
  <si>
    <t>110624baasa25_1</t>
  </si>
  <si>
    <t>G5-6-4</t>
  </si>
  <si>
    <t>110625baasa06_1</t>
  </si>
  <si>
    <t>G5-6-2</t>
  </si>
  <si>
    <t>110625baasa13_1</t>
  </si>
  <si>
    <t>G5-6-3</t>
  </si>
  <si>
    <t>69096</t>
  </si>
  <si>
    <t>110624baasa38_1</t>
  </si>
  <si>
    <t>G5-24-2</t>
  </si>
  <si>
    <t>5mM Glucose  - 24 hrs</t>
  </si>
  <si>
    <t>110624baasa48_1</t>
  </si>
  <si>
    <t>G5-24-4</t>
  </si>
  <si>
    <t>110625baasa02_1</t>
  </si>
  <si>
    <t>G5-24-5</t>
  </si>
  <si>
    <t>110625baasa10_1</t>
  </si>
  <si>
    <t>G5-24-3</t>
  </si>
  <si>
    <t>110625baasa20_1</t>
  </si>
  <si>
    <t>G5-24-1</t>
  </si>
  <si>
    <t>110625baasa24_1</t>
  </si>
  <si>
    <t>G5-24-6</t>
  </si>
  <si>
    <t>69103</t>
  </si>
  <si>
    <t>110624baasa23_1</t>
  </si>
  <si>
    <t>g10-0.17-5</t>
  </si>
  <si>
    <t>10mM Glucose  - 0.17 hr</t>
  </si>
  <si>
    <t>110624baasa30_1</t>
  </si>
  <si>
    <t>g10-0.17-4</t>
  </si>
  <si>
    <t>110625baasa04_1</t>
  </si>
  <si>
    <t>g10-0.17-1</t>
  </si>
  <si>
    <t>110625baasa11_1</t>
  </si>
  <si>
    <t>g10-0.17-2</t>
  </si>
  <si>
    <t>110625baasa14_1</t>
  </si>
  <si>
    <t>g10-0.17-6</t>
  </si>
  <si>
    <t>110625baasa27_1</t>
  </si>
  <si>
    <t>g10-0.17-3</t>
  </si>
  <si>
    <t>69110</t>
  </si>
  <si>
    <t>110624baasa07_1</t>
  </si>
  <si>
    <t>GLM-3</t>
  </si>
  <si>
    <t xml:space="preserve">10mM Glucosamine  - 0.17 hr </t>
  </si>
  <si>
    <t>110624baasa29_1</t>
  </si>
  <si>
    <t>GLM-6</t>
  </si>
  <si>
    <t>110624baasa32_1</t>
  </si>
  <si>
    <t>GLM-2</t>
  </si>
  <si>
    <t>110624baasa36_1</t>
  </si>
  <si>
    <t>GLM-4</t>
  </si>
  <si>
    <t>110625baasa12_1</t>
  </si>
  <si>
    <t>GLM-1</t>
  </si>
  <si>
    <t>110625baasa26_1</t>
  </si>
  <si>
    <t>GLM-5</t>
  </si>
  <si>
    <t>69114</t>
  </si>
  <si>
    <t>110624baasa09_1</t>
  </si>
  <si>
    <t>G5-0.17-5</t>
  </si>
  <si>
    <t xml:space="preserve">5mM Glucose  - 0.17 hr </t>
  </si>
  <si>
    <t>110624baasa14_1</t>
  </si>
  <si>
    <t>G5-0.17-1</t>
  </si>
  <si>
    <t>110624baasa34_1</t>
  </si>
  <si>
    <t>G5-0.17-6</t>
  </si>
  <si>
    <t>110624baasa50_1</t>
  </si>
  <si>
    <t>G5-0.17-4</t>
  </si>
  <si>
    <t>110625baasa16_1</t>
  </si>
  <si>
    <t>G5-0.17-3</t>
  </si>
  <si>
    <t>110625baasa25_1</t>
  </si>
  <si>
    <t>G5-0.17-2</t>
  </si>
  <si>
    <t>69121</t>
  </si>
  <si>
    <t>110624baasa02_1</t>
  </si>
  <si>
    <t>G5-1-3</t>
  </si>
  <si>
    <t>5mM Glucose  - 1 hr</t>
  </si>
  <si>
    <t>110624baasa11_1</t>
  </si>
  <si>
    <t>G5-1-6</t>
  </si>
  <si>
    <t>110624baasa22_1</t>
  </si>
  <si>
    <t>G5-1-2</t>
  </si>
  <si>
    <t>110624baasa26_1</t>
  </si>
  <si>
    <t>G5-1-1</t>
  </si>
  <si>
    <t>110624baasa41_1</t>
  </si>
  <si>
    <t>G5-1-5</t>
  </si>
  <si>
    <t>110625baasa17_1</t>
  </si>
  <si>
    <t>G5-1-4</t>
  </si>
  <si>
    <t>69128</t>
  </si>
  <si>
    <t>110624baasa05_1</t>
  </si>
  <si>
    <t>g10-6-2</t>
  </si>
  <si>
    <t>10mM Glucose  - 6 hrs</t>
  </si>
  <si>
    <t>110624baasa20_1</t>
  </si>
  <si>
    <t>g10-6-1</t>
  </si>
  <si>
    <t>110624baasa31_1</t>
  </si>
  <si>
    <t>g10-6-6</t>
  </si>
  <si>
    <t>110624baasa42_1</t>
  </si>
  <si>
    <t>g10-6-5</t>
  </si>
  <si>
    <t>110625baasa09_1</t>
  </si>
  <si>
    <t>g10-6-4</t>
  </si>
  <si>
    <t>110625baasa21_1</t>
  </si>
  <si>
    <t>g10-6-3</t>
  </si>
  <si>
    <t>69135</t>
  </si>
  <si>
    <t>110624baasa03_1</t>
  </si>
  <si>
    <t>g10-24-1</t>
  </si>
  <si>
    <t>10mM Glucose  - 24 hrs</t>
  </si>
  <si>
    <t>110624baasa24_1</t>
  </si>
  <si>
    <t>g10-24-5</t>
  </si>
  <si>
    <t>110624baasa33_1</t>
  </si>
  <si>
    <t>g10-24-3</t>
  </si>
  <si>
    <t>110624baasa35_1</t>
  </si>
  <si>
    <t>g10-24-4</t>
  </si>
  <si>
    <t>110624baasa47_1</t>
  </si>
  <si>
    <t>g10-24-2</t>
  </si>
  <si>
    <t>110625baasa18_1</t>
  </si>
  <si>
    <t>g10-24-6</t>
  </si>
  <si>
    <t>69142</t>
  </si>
  <si>
    <t>110624baasa12_1</t>
  </si>
  <si>
    <t>g10-1-2</t>
  </si>
  <si>
    <t>10mM Glucose  - 1 hr</t>
  </si>
  <si>
    <t>110624baasa15_1</t>
  </si>
  <si>
    <t>g10-1-1</t>
  </si>
  <si>
    <t>110624baasa46_1</t>
  </si>
  <si>
    <t>g10-1-3</t>
  </si>
  <si>
    <t>110625baasa03_1</t>
  </si>
  <si>
    <t>g10-1-5</t>
  </si>
  <si>
    <t>110625baasa19_1</t>
  </si>
  <si>
    <t>g10-1-4</t>
  </si>
  <si>
    <t>110625baasa22_1</t>
  </si>
  <si>
    <t>g10-1-6</t>
  </si>
  <si>
    <t>69149</t>
  </si>
  <si>
    <t>110624baasa06_1</t>
  </si>
  <si>
    <t>g-f-24-1</t>
  </si>
  <si>
    <t>5mM Glucose + 5mM Fructose  - 24 hrs</t>
  </si>
  <si>
    <t>110624baasa37_1</t>
  </si>
  <si>
    <t>g-f-24-3</t>
  </si>
  <si>
    <t>110624baasa40_1</t>
  </si>
  <si>
    <t>g-f-24-2</t>
  </si>
  <si>
    <t>110624baasa45_1</t>
  </si>
  <si>
    <t>g-f-24-5</t>
  </si>
  <si>
    <t>110625baasa07_1</t>
  </si>
  <si>
    <t>g-f-24-6</t>
  </si>
  <si>
    <t>110625baasa28_1</t>
  </si>
  <si>
    <t>g-f-24-4</t>
  </si>
  <si>
    <t>69156</t>
  </si>
  <si>
    <t>110624baasa01_1</t>
  </si>
  <si>
    <t>g-f-1-2</t>
  </si>
  <si>
    <t>5mM Glucose + 5mM Fructose  - 1 hr</t>
  </si>
  <si>
    <t>110624baasa08_1</t>
  </si>
  <si>
    <t>g-f-1-5</t>
  </si>
  <si>
    <t>110624baasa10_1</t>
  </si>
  <si>
    <t>g-f-1-4</t>
  </si>
  <si>
    <t>110625baasa08_1</t>
  </si>
  <si>
    <t>g-f-1-1</t>
  </si>
  <si>
    <t>110625baasa15_1</t>
  </si>
  <si>
    <t>g-f-1-3</t>
  </si>
  <si>
    <t>110625baasa23_1</t>
  </si>
  <si>
    <t>g-f-1-6</t>
  </si>
  <si>
    <t>69163</t>
  </si>
  <si>
    <t>110624baasa13_1</t>
  </si>
  <si>
    <t>g-f-6-1</t>
  </si>
  <si>
    <t>5mM Glucose + 5mM Fructose  - 6 hrs</t>
  </si>
  <si>
    <t>110624baasa17_1</t>
  </si>
  <si>
    <t>g-f-6-2</t>
  </si>
  <si>
    <t>110624baasa19_1</t>
  </si>
  <si>
    <t>g-f-6-5</t>
  </si>
  <si>
    <t>110624baasa39_1</t>
  </si>
  <si>
    <t>g-f-6-4</t>
  </si>
  <si>
    <t>110624baasa49_1</t>
  </si>
  <si>
    <t>g-f-6-3</t>
  </si>
  <si>
    <t>110625baasa05_1</t>
  </si>
  <si>
    <t>g-f-6-6</t>
  </si>
  <si>
    <t>69170</t>
  </si>
  <si>
    <t>110624baasa16_1</t>
  </si>
  <si>
    <t>g-f-0.17-3</t>
  </si>
  <si>
    <t>5mM Glucose + 5mM Fructose  - 0.17 hr</t>
  </si>
  <si>
    <t>110624baasa27_1</t>
  </si>
  <si>
    <t>g-f-0.17-4</t>
  </si>
  <si>
    <t>110624baasa28_1</t>
  </si>
  <si>
    <t>g-f-0.17-5</t>
  </si>
  <si>
    <t>110624baasa43_1</t>
  </si>
  <si>
    <t>g-f-0.17-6</t>
  </si>
  <si>
    <t>110624baasa44_1</t>
  </si>
  <si>
    <t>g-f-0.17-1</t>
  </si>
  <si>
    <t>110625baasa01_1</t>
  </si>
  <si>
    <t>g-f-0.17-2</t>
  </si>
  <si>
    <t/>
  </si>
  <si>
    <t>69172</t>
  </si>
  <si>
    <t>69171</t>
  </si>
  <si>
    <t>69176</t>
  </si>
  <si>
    <t>69175</t>
  </si>
  <si>
    <t>69174</t>
  </si>
  <si>
    <t>69173</t>
  </si>
  <si>
    <t>69169</t>
  </si>
  <si>
    <t>69166</t>
  </si>
  <si>
    <t>69167</t>
  </si>
  <si>
    <t>69168</t>
  </si>
  <si>
    <t>69165</t>
  </si>
  <si>
    <t>69164</t>
  </si>
  <si>
    <t>69162</t>
  </si>
  <si>
    <t>69159</t>
  </si>
  <si>
    <t>69157</t>
  </si>
  <si>
    <t>69160</t>
  </si>
  <si>
    <t>69161</t>
  </si>
  <si>
    <t>69158</t>
  </si>
  <si>
    <t>69153</t>
  </si>
  <si>
    <t>69155</t>
  </si>
  <si>
    <t>69154</t>
  </si>
  <si>
    <t>69151</t>
  </si>
  <si>
    <t>69152</t>
  </si>
  <si>
    <t>69150</t>
  </si>
  <si>
    <t>69148</t>
  </si>
  <si>
    <t>69146</t>
  </si>
  <si>
    <t>69147</t>
  </si>
  <si>
    <t>69145</t>
  </si>
  <si>
    <t>69143</t>
  </si>
  <si>
    <t>69144</t>
  </si>
  <si>
    <t>69141</t>
  </si>
  <si>
    <t>69137</t>
  </si>
  <si>
    <t>69139</t>
  </si>
  <si>
    <t>69138</t>
  </si>
  <si>
    <t>69140</t>
  </si>
  <si>
    <t>69136</t>
  </si>
  <si>
    <t>69131</t>
  </si>
  <si>
    <t>69132</t>
  </si>
  <si>
    <t>69133</t>
  </si>
  <si>
    <t>69134</t>
  </si>
  <si>
    <t>69129</t>
  </si>
  <si>
    <t>69130</t>
  </si>
  <si>
    <t>69125</t>
  </si>
  <si>
    <t>69126</t>
  </si>
  <si>
    <t>69122</t>
  </si>
  <si>
    <t>69123</t>
  </si>
  <si>
    <t>69127</t>
  </si>
  <si>
    <t>69124</t>
  </si>
  <si>
    <t>69116</t>
  </si>
  <si>
    <t>69117</t>
  </si>
  <si>
    <t>69118</t>
  </si>
  <si>
    <t>69120</t>
  </si>
  <si>
    <t>69115</t>
  </si>
  <si>
    <t>69119</t>
  </si>
  <si>
    <t>69489</t>
  </si>
  <si>
    <t>69111</t>
  </si>
  <si>
    <t>69488</t>
  </si>
  <si>
    <t>69112</t>
  </si>
  <si>
    <t>69490</t>
  </si>
  <si>
    <t>69113</t>
  </si>
  <si>
    <t>69106</t>
  </si>
  <si>
    <t>69109</t>
  </si>
  <si>
    <t>69105</t>
  </si>
  <si>
    <t>69104</t>
  </si>
  <si>
    <t>69107</t>
  </si>
  <si>
    <t>69108</t>
  </si>
  <si>
    <t>69102</t>
  </si>
  <si>
    <t>69097</t>
  </si>
  <si>
    <t>69099</t>
  </si>
  <si>
    <t>69101</t>
  </si>
  <si>
    <t>69100</t>
  </si>
  <si>
    <t>69098</t>
  </si>
  <si>
    <t>69092</t>
  </si>
  <si>
    <t>69091</t>
  </si>
  <si>
    <t>69093</t>
  </si>
  <si>
    <t>69094</t>
  </si>
  <si>
    <t>69095</t>
  </si>
  <si>
    <t>69090</t>
  </si>
  <si>
    <t>zymosterol</t>
  </si>
  <si>
    <t>1089370</t>
  </si>
  <si>
    <t>129</t>
  </si>
  <si>
    <t>85:19997.0 86:2624.0 87:5765.0 88:3177.0 89:22569.0 90:3732.0 91:361931.0 92:54794.0 93:287393.0 94:55317.0 95:339994.0 96:28948.0 97:44845.0 98:4635.0 99:14995.0 100:2137.0 101:31673.0 102:6349.0 103:33152.0 104:17799.0 105:294674.0 106:58243.0 107:232767.0 108:44049.0 109:171446.0 110:19603.0 111:43041.0 112:4700.0 113:10817.0 114:2318.0 115:53198.0 116:23149.0 117:101074.0 118:31912.0 119:247913.0 120:91958.0 121:166697.0 122:26661.0 123:65832.0 124:7475.0 125:10356.0 126:2036.0 127:11449.0 128:34744.0 129:533968.0 130:85516.0 131:137861.0 132:47170.0 133:125674.0 134:28688.0 135:74817.0 136:12503.0 137:35991.0 138:5774.0 139:5488.0 140:1347.0 141:22783.0 142:19334.0 143:104571.0 144:38578.0 145:148081.0 146:38701.0 147:88932.0 148:19614.0 149:48214.0 150:7641.0 151:11661.0 152:7160.0 153:7935.0 154:5418.0 155:29119.0 156:14214.0 157:68166.0 158:48537.0 159:113259.0 160:45492.0 161:69251.0 162:14887.0 163:33698.0 164:7065.0 165:10916.0 166:3465.0 167:6330.0 168:6625.0 169:25212.0 170:7968.0 171:41511.0 172:17979.0 173:49419.0 174:15562.0 175:30661.0 176:6071.0 177:14863.0 178:4522.0 179:9080.0 180:2791.0 181:10807.0 182:7006.0 183:16134.0 184:5773.0 185:27467.0 186:9922.0 187:21390.0 188:7087.0 189:21007.0 190:4299.0 191:7910.0 192:2205.0 193:5747.0 194:3032.0 195:7283.0 196:8497.0 197:20508.0 198:6805.0 199:26586.0 200:8494.0 201:17240.0 202:4226.0 203:15433.0 204:4177.0 205:7904.0 206:3359.0 208:834.0 209:2672.0 210:1628.0 211:23067.0 212:12288.0 213:40305.0 214:14708.0 215:20271.0 216:4711.0 217:13628.0 218:3507.0 219:5924.0 220:2090.0 221:1211.0 222:932.0 223:1476.0 224:1149.0 225:9451.0 226:5807.0 227:11934.0 228:10245.0 229:8585.0 230:1954.0 231:8348.0 232:2018.0 233:2859.0 234:1110.0 235:2021.0 236:1081.0 237:1650.0 238:1115.0 239:10392.0 240:6330.0 241:6619.0 242:3312.0 243:11134.0 244:4039.0 245:19922.0 246:4748.0 247:1903.0 248:1393.0 249:1517.0 250:775.0 251:690.0 252:2353.0 253:84081.0 254:23136.0 255:18338.0 256:4803.0 257:6619.0 258:2246.0 259:1729.0 260:761.0 261:670.0 262:488.0 263:486.0 264:318.0 265:211.0 266:307.0 267:4243.0 268:1738.0 269:2952.0 270:1393.0 271:3618.0 272:2609.0 273:4708.0 274:1208.0 275:677.0 276:379.0 277:397.0 278:197.0 279:358.0 280:251.0 281:12734.0 282:14381.0 283:5733.0 284:2561.0 285:1927.0 286:755.0 287:861.0 288:562.0 289:973.0 290:590.0 291:768.0 292:335.0 293:382.0 294:333.0 295:2358.0 296:2004.0 297:2733.0 298:1569.0 299:2286.0 300:922.0 301:1043.0 302:2008.0 303:2600.0 304:1241.0 305:376.0 306:279.0 307:200.0 308:267.0 309:2106.0 310:1282.0 311:1662.0 312:1887.0 313:780.0 314:531.0 315:950.0 316:582.0 317:715.0 318:1121.0 319:587.0 320:202.0 321:250.0 322:200.0 323:1423.0 324:2683.0 325:4417.0 326:7066.0 327:26536.0 328:9314.0 329:2471.0 330:1720.0 331:626.0 332:366.0 333:142.0 334:167.0 335:107.0 336:171.0 337:943.0 338:1602.0 339:861.0 340:503.0 342:12973.0 343:61999.0 344:24617.0 345:7572.0 346:1707.0 347:359.0 348:112.0 349:201.0 350:811.0 351:27810.0 352:12326.0 353:2864.0 354:573.0 355:203.0 356:49.0 357:1160.0 358:708.0 359:312.0 360:117.0 361:168.0 363:105.0 364:123.0 365:1794.0 366:18764.0 367:9080.0 368:2299.0 369:527.0 370:252.0 371:5108.0 372:17395.0 373:7414.0 374:2210.0 375:394.0 376:64.0 379:36.0 381:4.0 382:5.0 383:21.0 384:80.0 385:187.0 386:621.0 387:506.0 388:228.0 389:146.0 390:81.0 391:15.0 392:4.0 393:1.0 394:40.0 395:103.0 396:33.0 397:92.0 398:68.0 399:213.0 400:307.0 401:203.0 402:413.0 403:240.0 404:150.0 405:139.0 406:78.0 407:103.0 408:24.0 409:57.0 410:66.0 411:131.0 412:105.0 413:218.0 414:426.0 415:258.0 416:169.0 418:42.0 419:91.0 420:28.0 421:14.0 422:61.0 423:251.0 424:209.0 425:152.0 426:67.0 427:226.0 428:344.0 429:190.0 430:18.0 431:26.0 434:12.0 435:8.0 437:23.0 439:118.0 440:1256.0 441:13560.0 442:9431.0 443:3019.0 444:701.0 445:139.0 446:41.0 447:46.0 448:37.0 450:33.0 453:57.0 454:531.0 455:1446.0 456:11467.0 457:8608.0 458:3025.0 459:711.0 460:86.0 461:185.0 462:9.0 463:44.0 464:36.0 473:27.0 475:98.0 476:144.0 477:13.0 485:4.0 487:14.0 489:145.0 490:68.0 492:22.0 494:4.0</t>
  </si>
  <si>
    <t>173</t>
  </si>
  <si>
    <t>146</t>
  </si>
  <si>
    <t>valine</t>
  </si>
  <si>
    <t>313224</t>
  </si>
  <si>
    <t>144</t>
  </si>
  <si>
    <t>85:48.0 86:132.0 87:8.0 88:9.0 89:2.0 90:21.0 91:58.0 92:93.0 93:1.0 97:102.0 98:14.0 99:2.0 100:836.0 101:92.0 102:11.0 103:76.0 104:20.0 105:42.0 106:2.0 107:49.0 109:2.0 110:18.0 111:13.0 112:18.0 113:8.0 114:87.0 115:99.0 116:9.0 117:113.0 118:31.0 119:19.0 120:6.0 129:31.0 130:55.0 131:55.0 132:140.0 133:378.0 134:33.0 135:4.0 136:5.0 142:21.0 143:24.0 144:4737.0 145:554.0 146:209.0 147:684.0 148:153.0 149:85.0 150:8.0 156:70.0 157:9.0 158:12.0 159:10.0 160:4.0 166:1.0 170:1.0 172:2.0 174:1.0 184:5.0 186:1.0 190:2.0 193:1.0 196:3.0 198:5.0 199:4.0 202:2.0 203:13.0 208:6.0 218:561.0 219:139.0 220:24.0 223:3.0 224:2.0 228:1.0 230:2.0 232:4.0 241:1.0 245:2.0 246:11.0 252:2.0 253:1.0 260:1.0 264:1.0 268:2.0 270:3.0 274:3.0 282:2.0 284:1.0 285:3.0 292:1.0 293:1.0 296:1.0 297:1.0 309:2.0 311:1.0 314:1.0 316:1.0 323:1.0 325:3.0 328:4.0 337:4.0 339:1.0 342:2.0 350:1.0 356:2.0 361:3.0 368:2.0 369:2.0 373:2.0 375:2.0 378:1.0 380:2.0 385:4.0 386:1.0 387:3.0 392:2.0 399:1.0 400:1.0 402:2.0 409:1.0 414:1.0 425:1.0 426:2.0 428:1.0 436:2.0 438:1.0 441:6.0 444:1.0 450:1.0 454:3.0 457:1.0 459:2.0 460:2.0 461:1.0 462:4.0 463:1.0 464:5.0 467:1.0 468:1.0 469:1.0 471:2.0 472:1.0 482:1.0 494:1.0 497:5.0 498:1.0</t>
  </si>
  <si>
    <t>315</t>
  </si>
  <si>
    <t>urea</t>
  </si>
  <si>
    <t>325479</t>
  </si>
  <si>
    <t>171</t>
  </si>
  <si>
    <t>85:646.0 86:721.0 87:155.0 88:133.0 89:140.0 90:348.0 93:16.0 95:69.0 96:217.0 98:317.0 99:7064.0 100:4612.0 101:602.0 102:710.0 104:167.0 105:1.0 106:56.0 107:1663.0 108:260.0 109:98.0 110:296.0 111:407.0 113:163.0 114:726.0 115:700.0 116:294.0 117:812.0 118:464.0 120:3.0 126:404.0 130:3050.0 131:1624.0 132:1369.0 133:528.0 134:3330.0 139:141.0 140:28.0 143:266.0 146:1821.0 147:29933.0 148:4781.0 149:1852.0 150:135.0 155:181.0 156:66.0 157:402.0 158:68.0 159:75.0 160:314.0 163:1.0 169:115.0 170:17.0 171:15886.0 172:2872.0 173:2493.0 177:1.0 179:3.0 184:1267.0 186:768.0 189:11432.0 190:2142.0 191:760.0 192:1.0 199:182.0 204:374.0 225:1.0 233:48.0 245:212.0 247:9.0 261:112.0 263:17.0 271:12.0 276:30.0 277:1.0 278:408.0 279:62.0 280:15.0 321:1.0 325:1.0 383:18.0 390:2.0 407:4.0 445:6.0 451:8.0 459:4.0 478:12.0</t>
  </si>
  <si>
    <t>uracil</t>
  </si>
  <si>
    <t>385903</t>
  </si>
  <si>
    <t>99</t>
  </si>
  <si>
    <t>85:620.0 86:348.0 87:342.0 88:79.0 89:29.0 90:36.0 91:255.0 92:148.0 93:33.0 94:13.0 95:48.0 96:142.0 97:65.0 98:244.0 99:6557.0 100:1563.0 101:564.0 102:105.0 103:114.0 104:19.0 105:169.0 106:54.0 107:48.0 108:25.0 109:255.0 110:29.0 111:91.0 112:40.0 113:1310.0 114:131.0 115:108.0 116:39.0 117:196.0 118:52.0 119:32.0 120:22.0 121:6.0 122:1.0 123:5.0 124:10.0 125:8.0 126:1397.0 127:190.0 128:66.0 129:7.0 130:21.0 131:475.0 132:92.0 133:217.0 134:110.0 135:36.0 136:9.0 137:1.0 138:2.0 139:17.0 140:24.0 141:50.0 142:44.0 143:56.0 144:1.0 146:1.0 147:2844.0 148:440.0 149:244.0 150:15.0 151:3.0 152:11.0 153:98.0 154:18.0 155:14.0 156:38.0 157:70.0 158:56.0 159:3.0 160:6.0 161:3.0 162:3.0 166:26.0 167:27.0 168:15.0 169:87.0 170:16.0 171:1.0 172:14.0 173:6.0 174:21.0 175:1.0 176:8.0 180:2.0 181:2.0 182:18.0 183:66.0 184:171.0 185:97.0 186:17.0 187:2.0 188:5.0 192:2.0 193:4.0 197:9.0 198:8.0 199:12.0 200:2.0 201:4.0 202:8.0 204:1.0 208:1.0 209:3.0 210:3.0 211:8.0 212:8.0 213:11.0 214:3.0 215:2.0 216:2.0 217:3.0 218:2.0 221:1.0 222:1.0 223:5.0 224:7.0 225:8.0 226:4.0 229:3.0 230:5.0 232:4.0 235:5.0 236:7.0 237:7.0 239:101.0 240:33.0 241:2686.0 242:497.0 243:203.0 244:16.0 245:10.0 247:4.0 248:4.0 249:9.0 250:3.0 251:1.0 253:12.0 254:10.0 255:1227.0 256:974.0 257:260.0 258:69.0 259:7.0 260:4.0 261:4.0 262:1.0 265:3.0 268:2.0 269:1.0 270:4.0 273:4.0 275:3.0 276:1.0 284:2.0 285:8.0 290:1.0 293:9.0 294:1.0 296:1.0 300:1.0 302:2.0 303:1.0 304:3.0 305:4.0 307:4.0 309:1.0 310:2.0 312:5.0 313:4.0 314:5.0 316:2.0 319:2.0 320:4.0 325:2.0 330:1.0 331:1.0 333:1.0 337:4.0 338:1.0 340:4.0 343:3.0 344:2.0 346:1.0 348:5.0 349:3.0 353:2.0 355:3.0 358:2.0 359:2.0 361:2.0 364:3.0 365:1.0 368:1.0 370:2.0 371:1.0 373:3.0 374:1.0 376:4.0 378:4.0 380:3.0 384:3.0 385:1.0 388:2.0 389:3.0 392:2.0 397:4.0 399:2.0 403:2.0 405:4.0 409:3.0 410:1.0 411:1.0 413:2.0 414:1.0 415:1.0 419:1.0 421:8.0 424:5.0 425:6.0 426:5.0 427:7.0 428:5.0 430:6.0 431:1.0 433:4.0 436:3.0 437:5.0 439:2.0 441:1.0 444:2.0 445:2.0 448:1.0 451:3.0 452:11.0 456:2.0 457:11.0 458:4.0 459:1.0 461:2.0 463:8.0 468:1.0 473:1.0 474:3.0 475:1.0 476:3.0 478:2.0 479:3.0 481:2.0 485:2.0 487:2.0 490:4.0 493:3.0 494:2.0 495:4.0 496:1.0 497:1.0 498:1.0 499:7.0 500:7.0</t>
  </si>
  <si>
    <t>UDP GlcNAc</t>
  </si>
  <si>
    <t>623732</t>
  </si>
  <si>
    <t>226</t>
  </si>
  <si>
    <t>85:952.0 86:705.0 87:643.0 88:391.0 89:4049.0 90:359.0 93:304.0 94:39.0 96:387.0 98:207.0 99:1266.0 100:2130.0 101:3278.0 102:743.0 103:7514.0 104:486.0 105:288.0 108:488.0 109:109.0 110:499.0 111:775.0 112:253.0 113:2292.0 114:914.0 115:1678.0 116:2633.0 117:11126.0 118:1105.0 119:1215.0 122:245.0 124:170.0 125:25.0 126:314.0 127:320.0 128:1430.0 129:6405.0 130:1067.0 131:3191.0 132:632.0 133:5972.0 134:693.0 135:393.0 136:228.0 138:127.0 140:165.0 141:225.0 142:490.0 143:1510.0 144:784.0 145:453.0 146:3.0 147:17791.0 148:2518.0 149:2850.0 150:556.0 151:244.0 152:40.0 153:38.0 154:383.0 155:262.0 156:2982.0 157:1430.0 158:685.0 159:1777.0 160:1078.0 161:154.0 162:68.0 163:1206.0 164:150.0 165:81.0 166:38.0 168:557.0 169:457.0 170:1761.0 171:238.0 172:235.0 173:1671.0 174:820.0 175:402.0 176:47.0 177:557.0 178:38.0 182:623.0 183:325.0 184:792.0 185:266.0 186:286.0 187:7.0 188:7.0 189:3069.0 190:624.0 191:4892.0 192:859.0 193:220.0 196:341.0 197:193.0 198:1275.0 199:226.0 200:210.0 201:106.0 202:998.0 203:2697.0 204:4669.0 205:1621.0 206:399.0 207:26.0 209:8.0 210:389.0 211:353.0 212:83.0 213:12.0 214:33.0 215:493.0 216:92.0 217:7066.0 218:5767.0 219:1359.0 220:390.0 222:9.0 224:386.0 225:44.0 226:3105.0 227:425.0 228:161.0 229:75.0 230:616.0 231:2450.0 232:540.0 233:1381.0 234:250.0 235:93.0 236:39.0 238:13.0 239:277.0 240:145.0 242:38.0 243:162.0 244:115.0 245:152.0 246:415.0 247:144.0 248:15.0 249:14.0 250:9.0 256:33.0 257:132.0 258:177.0 259:51.0 260:30.0 270:6.0 271:1.0 272:194.0 273:141.0 274:111.0 275:62.0 276:14.0 284:114.0 285:38.0 286:43.0 287:15.0 288:29.0 289:84.0 291:63.0 299:83.0 300:463.0 301:201.0 302:35.0 306:69.0 314:205.0 315:54.0 316:352.0 317:96.0 318:444.0 319:387.0 320:143.0 321:46.0 328:7.0 329:1053.0 330:300.0 331:126.0 336:12.0 339:12.0 340:23.0 362:12.0 373:2.0 385:3.0 386:7.0 391:8.0 404:215.0 405:15.0 406:46.0 410:4.0 419:2.0 487:10.0 497:1.0</t>
  </si>
  <si>
    <t>179</t>
  </si>
  <si>
    <t>tyrosine</t>
  </si>
  <si>
    <t>671221</t>
  </si>
  <si>
    <t>85:69.0 86:848.0 88:185.0 89:764.0 90:369.0 91:947.0 92:218.0 93:286.0 94:20.0 95:258.0 98:599.0 99:82.0 100:15633.0 101:1793.0 102:819.0 103:1243.0 104:85.0 105:778.0 106:852.0 108:93.0 109:105.0 110:245.0 112:74.0 113:124.0 114:150.0 115:502.0 116:643.0 117:454.0 118:187.0 119:698.0 121:335.0 122:226.0 123:119.0 124:75.0 125:328.0 126:67.0 128:268.0 130:1148.0 131:1150.0 132:1396.0 133:2125.0 134:806.0 135:1302.0 136:322.0 137:219.0 138:73.0 139:34.0 140:69.0 141:60.0 142:34.0 145:273.0 146:586.0 147:9108.0 148:866.0 149:1259.0 150:260.0 151:463.0 152:223.0 154:13.0 155:7.0 157:378.0 158:110.0 160:776.0 161:575.0 162:99.0 163:1392.0 164:476.0 165:853.0 166:6015.0 167:995.0 168:311.0 170:43.0 173:62.0 174:367.0 175:223.0 176:400.0 177:401.0 178:180.0 179:6463.0 180:1425.0 181:502.0 182:176.0 183:21.0 184:33.0 186:112.0 187:288.0 188:78.0 190:418.0 191:71.0 192:1148.0 193:542.0 194:13.0 195:99.0 196:176.0 197:39.0 200:16.0 203:354.0 204:18.0 206:52.0 207:611.0 208:348.0 209:3909.0 210:708.0 211:138.0 215:235.0 216:59.0 217:530.0 218:48192.0 219:9372.0 220:4008.0 221:387.0 222:86.0 223:921.0 224:1552.0 225:220.0 228:5.0 229:48.0 234:82.0 236:40.0 237:98.0 238:19.0 239:174.0 240:36.0 242:58.0 243:46.0 248:71.0 250:37.0 252:22.0 253:1.0 254:5.0 255:734.0 256:166.0 260:71.0 263:79.0 264:163.0 265:528.0 266:88.0 267:35.0 269:11.0 274:21.0 278:165.0 279:183.0 280:3634.0 281:804.0 282:404.0 283:132.0 289:4.0 292:29.0 299:11.0 305:62.0 308:155.0 309:5.0 310:53.0 311:5.0 313:85.0 314:45.0 316:1.0 319:119.0 320:143.0 322:4.0 327:8.0 329:65.0 330:18.0 331:172.0 333:187.0 334:108.0 335:39.0 336:7.0 339:2.0 340:45.0 344:21.0 345:1225.0 346:346.0 347:94.0 348:2.0 353:27.0 354:774.0 355:394.0 356:191.0 357:69.0 358:35.0 364:16.0 365:4.0 366:32.0 373:2.0 377:3.0 379:1.0 380:10.0 381:28.0 382:376.0 383:181.0 384:53.0 385:1.0 389:1.0 393:10.0 397:11.0 402:8.0 403:1.0 407:1.0 409:11.0 410:18.0 413:1.0 415:3.0 419:82.0 420:33.0 422:5.0 423:5.0 424:13.0 433:2.0 434:26.0 435:26.0 441:16.0 443:11.0 453:15.0 459:2.0 462:24.0 463:6.0 466:5.0 469:1.0 471:3.0 472:8.0 478:1.0 480:6.0 490:1.0 497:2.0</t>
  </si>
  <si>
    <t>tryptophan</t>
  </si>
  <si>
    <t>779834</t>
  </si>
  <si>
    <t>202</t>
  </si>
  <si>
    <t>86:27.0 87:274.0 88:35.0 89:61.0 90:26.0 91:147.0 92:19.0 93:50.0 94:4.0 100:133.0 101:54.0 102:184.0 103:173.0 104:20.0 105:43.0 106:10.0 107:18.0 108:29.0 113:15.0 114:34.0 115:146.0 116:31.0 118:17.0 119:53.0 120:26.0 121:10.0 126:15.0 127:6.0 128:77.0 129:31.0 130:627.0 131:237.0 132:255.0 133:35.0 134:44.0 135:3.0 137:12.0 138:2.0 139:11.0 140:28.0 141:17.0 142:48.0 143:45.0 144:70.0 145:123.0 146:134.0 147:105.0 148:31.0 149:15.0 150:2.0 151:4.0 152:5.0 153:3.0 154:14.0 155:31.0 156:106.0 157:62.0 158:69.0 159:41.0 160:51.0 161:18.0 162:19.0 163:6.0 164:4.0 165:19.0 166:7.0 167:14.0 168:27.0 169:33.0 170:117.0 171:34.0 172:65.0 173:21.0 174:61.0 175:16.0 176:32.0 177:9.0 178:6.0 179:1.0 180:3.0 181:7.0 182:25.0 183:12.0 184:75.0 185:35.0 186:111.0 187:29.0 188:51.0 189:31.0 190:46.0 191:4.0 192:6.0 193:9.0 194:1.0 195:18.0 196:18.0 197:7.0 198:16.0 199:32.0 200:225.0 201:68.0 202:8908.0 203:1707.0 204:478.0 205:76.0 206:26.0 207:39.0 208:15.0 209:11.0 210:14.0 211:11.0 212:1.0 213:15.0 214:39.0 215:79.0 216:26.0 217:28.0 218:15.0 219:204.0 220:51.0 221:24.0 222:9.0 223:10.0 224:14.0 225:5.0 226:4.0 227:14.0 228:17.0 229:22.0 230:89.0 231:131.0 232:49.0 233:9.0 234:9.0 235:18.0 236:10.0 237:2.0 238:2.0 239:6.0 240:4.0 241:18.0 242:21.0 243:21.0 244:32.0 245:12.0 246:13.0 247:9.0 248:11.0 249:11.0 251:6.0 252:1.0 253:6.0 254:8.0 255:7.0 256:16.0 257:9.0 258:27.0 259:4.0 260:6.0 261:7.0 262:9.0 263:5.0 264:7.0 265:11.0 266:6.0 267:1.0 268:9.0 269:11.0 270:9.0 271:24.0 272:9.0 273:14.0 274:13.0 275:6.0 276:14.0 277:8.0 278:9.0 279:7.0 281:15.0 282:13.0 283:18.0 284:10.0 285:14.0 286:9.0 287:8.0 288:21.0 289:24.0 290:11.0 291:33.0 292:16.0 293:15.0 294:4.0 295:8.0 297:10.0 298:7.0 300:18.0 301:11.0 302:10.0 303:23.0 304:9.0 305:26.0 306:23.0 307:3.0 308:12.0 309:6.0 310:4.0 311:7.0 312:7.0 314:2.0 315:13.0 316:20.0 317:18.0 318:10.0 319:6.0 320:11.0 321:4.0 322:8.0 323:4.0 324:10.0 325:7.0 326:12.0 327:8.0 328:12.0 329:3.0 330:11.0 331:9.0 332:10.0 333:23.0 334:18.0 335:18.0 336:7.0 337:11.0 338:1.0 339:2.0 342:3.0 343:3.0 344:20.0 345:9.0 346:12.0 347:13.0 348:54.0 349:27.0 350:8.0 351:10.0 352:6.0 353:8.0 354:7.0 355:8.0 356:11.0 357:13.0 358:5.0 359:7.0 360:4.0 361:8.0 362:13.0 363:20.0 364:4.0 365:4.0 366:7.0 367:12.0 368:12.0 369:8.0 370:7.0 371:4.0 372:10.0 373:6.0 374:6.0 375:16.0 376:2.0 377:16.0 378:8.0 379:7.0 380:8.0 381:13.0 382:15.0 383:4.0 384:9.0 385:9.0 386:7.0 387:4.0 388:4.0 389:9.0 390:5.0 391:8.0 392:9.0 393:10.0 394:7.0 395:18.0 396:4.0 398:13.0 399:9.0 400:7.0 401:7.0 402:4.0 403:13.0 404:2.0 405:11.0 406:8.0 407:8.0 408:15.0 409:7.0 410:8.0 411:10.0 412:10.0 413:12.0 414:13.0 415:5.0 416:4.0 417:16.0 418:8.0 419:13.0 420:8.0 421:6.0 422:5.0 423:12.0 424:15.0 425:7.0 426:17.0 427:13.0 428:7.0 429:11.0 430:11.0 431:8.0 432:8.0 433:10.0 434:5.0 435:13.0 436:5.0 437:13.0 438:12.0 439:13.0 440:13.0 441:19.0 442:4.0 443:4.0 444:8.0 445:10.0 446:9.0 447:2.0 448:21.0 449:6.0 450:14.0 451:3.0 452:9.0 453:13.0 454:2.0 455:10.0 456:4.0 457:8.0 458:19.0 459:10.0 460:24.0 461:8.0 462:14.0 463:14.0 464:5.0 465:5.0 466:11.0 467:10.0 468:12.0 469:18.0 470:10.0 471:9.0 472:11.0 473:10.0 474:7.0 475:13.0 476:6.0 477:6.0 478:2.0 479:20.0 480:14.0 481:10.0 482:14.0 483:8.0 484:2.0 486:8.0 487:12.0 488:4.0 489:9.0 490:7.0 491:2.0 492:8.0 493:8.0 494:14.0 495:11.0 496:11.0 497:6.0 498:4.0 499:9.0 500:11.0</t>
  </si>
  <si>
    <t>174</t>
  </si>
  <si>
    <t>triethanolamine</t>
  </si>
  <si>
    <t>531423</t>
  </si>
  <si>
    <t>262</t>
  </si>
  <si>
    <t>85:21.0 86:86.0 87:47.0 88:88.0 89:63.0 90:15.0 91:42.0 92:52.0 93:19.0 94:41.0 95:9.0 96:20.0 97:18.0 98:31.0 99:10.0 100:218.0 101:257.0 102:71.0 103:176.0 104:13.0 105:3.0 106:7.0 107:3.0 109:4.0 110:4.0 112:21.0 114:49.0 115:5.0 116:98.0 117:715.0 118:63.0 119:25.0 120:2.0 121:13.0 123:2.0 124:3.0 126:3.0 127:2.0 128:68.0 129:10.0 130:535.0 131:50.0 133:111.0 134:9.0 136:18.0 137:12.0 138:10.0 139:6.0 141:4.0 144:275.0 145:33.0 146:76.0 147:93.0 148:19.0 150:4.0 152:1.0 153:1.0 154:5.0 156:19.0 159:6.0 160:13.0 161:15.0 162:5.0 166:5.0 167:5.0 168:17.0 169:8.0 170:24.0 172:117.0 173:3.0 174:107.0 175:19.0 176:4.0 180:11.0 181:5.0 182:6.0 184:12.0 186:19.0 188:7.0 190:13.0 193:11.0 196:2.0 197:6.0 198:6.0 199:5.0 200:23.0 201:6.0 202:7.0 203:14.0 204:18.0 205:3.0 206:9.0 209:1.0 210:11.0 212:11.0 213:7.0 214:6.0 215:10.0 216:5.0 217:58.0 218:10.0 219:10.0 220:28.0 221:30.0 224:7.0 225:8.0 226:5.0 227:5.0 229:5.0 230:20.0 231:11.0 232:4.0 233:9.0 234:14.0 235:1.0 236:2.0 237:13.0 238:1.0 240:6.0 241:7.0 242:6.0 245:1.0 246:11.0 247:11.0 250:5.0 251:8.0 252:2.0 254:9.0 255:8.0 257:19.0 258:4.0 259:17.0 260:42.0 261:12.0 262:1614.0 263:382.0 264:171.0 265:18.0 266:4.0 267:2.0 268:3.0 269:16.0 271:8.0 273:9.0 274:23.0 275:4.0 276:9.0 277:16.0 278:2.0 279:9.0 280:11.0 281:1.0 283:2.0 284:6.0 285:3.0 286:7.0 287:3.0 288:10.0 289:1.0 290:5.0 291:7.0 292:29.0 293:14.0 294:4.0 295:8.0 296:7.0 297:2.0 299:5.0 300:5.0 301:17.0 302:7.0 303:1.0 304:14.0 305:8.0 306:10.0 307:17.0 308:5.0 309:2.0 310:9.0 311:10.0 312:6.0 313:12.0 314:11.0 315:11.0 316:8.0 317:8.0 318:3.0 319:14.0 320:4.0 321:7.0 322:13.0 323:4.0 324:5.0 326:4.0 330:4.0 332:2.0 333:9.0 334:20.0 335:7.0 336:4.0 337:4.0 338:7.0 339:9.0 340:8.0 344:2.0 345:13.0 346:8.0 347:17.0 348:13.0 349:12.0 350:96.0 351:31.0 352:13.0 353:13.0 354:4.0 355:12.0 356:7.0 357:6.0 358:16.0 359:5.0 360:5.0 361:7.0 362:4.0 363:1.0 364:3.0 365:11.0 366:15.0 367:16.0 368:3.0 369:2.0 370:6.0 371:7.0 372:6.0 373:10.0 374:8.0 375:10.0 376:17.0 377:8.0 378:6.0 379:7.0 380:17.0 381:1.0 383:7.0 385:10.0 386:7.0 387:6.0 388:7.0 389:12.0 390:9.0 392:11.0 393:5.0 394:4.0 395:12.0 396:12.0 397:13.0 398:5.0 399:7.0 400:12.0 401:18.0 404:4.0 405:12.0 406:2.0 407:1.0 408:7.0 409:10.0 410:4.0 411:14.0 412:11.0 413:12.0 414:4.0 415:12.0 416:4.0 417:3.0 418:13.0 419:6.0 420:5.0 422:9.0 424:13.0 425:1.0 426:15.0 427:4.0 428:6.0 431:4.0 432:20.0 433:6.0 435:12.0 436:16.0 437:19.0 438:9.0 439:5.0 440:4.0 441:9.0 442:1.0 443:5.0 444:9.0 445:6.0 446:4.0 447:10.0 448:3.0 450:14.0 451:3.0 452:3.0 453:12.0 454:11.0 455:14.0 456:1.0 457:10.0 458:9.0 460:3.0 461:9.0 463:7.0 464:15.0 465:2.0 466:2.0 467:7.0 468:4.0 469:14.0 471:7.0 472:4.0 473:1.0 474:9.0 475:7.0 476:13.0 477:18.0 478:8.0 479:7.0 480:8.0 481:8.0 482:10.0 483:15.0 484:7.0 485:12.0 486:8.0 487:8.0 490:6.0 491:16.0 492:13.0 493:12.0 494:3.0 495:9.0 496:9.0 497:13.0 498:14.0 499:1.0 500:6.0</t>
  </si>
  <si>
    <t>trans-4-hydroxyproline</t>
  </si>
  <si>
    <t>460567</t>
  </si>
  <si>
    <t>158</t>
  </si>
  <si>
    <t>85:7.0 86:18.0 87:14.0 88:14.0 89:9.0 90:3.0 91:57.0 92:25.0 93:13.0 97:6.0 98:13.0 99:21.0 100:89.0 101:55.0 102:8.0 103:211.0 104:4.0 105:1.0 106:4.0 107:26.0 108:7.0 110:11.0 112:12.0 113:4.0 115:43.0 116:133.0 117:16.0 119:3.0 120:2.0 122:2.0 124:7.0 125:1.0 126:3.0 128:14.0 129:28.0 130:15.0 136:11.0 139:3.0 140:3.0 142:116.0 143:9.0 144:8.0 147:25.0 149:8.0 150:2.0 151:6.0 154:1.0 156:22.0 157:1.0 158:1376.0 159:177.0 160:42.0 161:4.0 162:1.0 164:1.0 170:45.0 172:1.0 174:1.0 175:1.0 182:1.0 194:2.0 198:2.0 203:2.0 206:2.0 213:1.0 215:4.0 216:2.0 225:1.0 231:3.0 235:1.0 236:2.0 239:2.0 241:6.0 243:3.0 244:2.0 248:1.0 252:2.0 255:2.0 258:2.0 259:1.0 260:60.0 261:2.0 263:1.0 264:1.0 271:2.0 273:1.0 281:1.0 284:3.0 285:1.0 290:1.0 294:1.0 296:1.0 302:6.0 305:5.0 312:2.0 314:3.0 315:4.0 316:2.0 319:6.0 322:3.0 327:2.0 331:2.0 333:5.0 343:1.0 348:5.0 350:1.0 351:2.0 358:4.0 360:2.0 361:1.0 365:1.0 367:2.0 369:3.0 374:2.0 377:3.0 380:4.0 383:1.0 385:1.0 388:5.0 392:4.0 393:2.0 394:3.0 395:1.0 401:2.0 406:1.0 407:5.0 415:2.0 416:1.0 421:1.0 423:7.0 427:2.0 429:3.0 430:1.0 433:1.0 439:6.0 440:3.0 447:1.0 449:2.0 453:3.0 454:1.0 458:1.0 462:6.0 467:1.0 470:1.0 475:3.0 476:1.0 477:6.0 479:8.0 484:2.0 488:7.0 492:2.0 499:3.0</t>
  </si>
  <si>
    <t>255</t>
  </si>
  <si>
    <t>117</t>
  </si>
  <si>
    <t>threonine</t>
  </si>
  <si>
    <t>409403</t>
  </si>
  <si>
    <t>85:164.0 86:362.0 87:290.0 88:38.0 89:34.0 90:14.0 91:33.0 92:7.0 93:4.0 94:4.0 95:2.0 96:20.0 97:16.0 98:42.0 99:43.0 100:1349.0 101:2357.0 102:353.0 103:220.0 104:22.0 105:10.0 106:4.0 107:104.0 110:50.0 112:49.0 113:14.0 114:249.0 115:190.0 116:89.0 117:2741.0 118:348.0 119:163.0 120:16.0 121:1.0 125:5.0 126:18.0 127:10.0 128:639.0 129:649.0 130:384.0 131:450.0 132:484.0 133:505.0 134:129.0 135:35.0 136:7.0 140:4.0 141:4.0 142:12.0 143:31.0 144:51.0 146:52.0 147:1351.0 148:239.0 149:151.0 150:9.0 151:25.0 153:9.0 154:5.0 155:3.0 156:2.0 157:5.0 158:54.0 159:80.0 160:67.0 161:7.0 162:14.0 163:14.0 164:1.0 165:1.0 166:1.0 170:7.0 171:2.0 172:33.0 173:4.0 174:34.0 175:10.0 176:16.0 177:27.0 179:2.0 180:1.0 184:39.0 186:34.0 187:7.0 188:20.0 189:11.0 190:9.0 191:29.0 192:2.0 195:8.0 197:3.0 199:3.0 200:1.0 201:3.0 202:199.0 203:229.0 204:76.0 205:19.0 206:7.0 207:3.0 208:1.0 209:3.0 210:10.0 211:2.0 212:3.0 213:6.0 214:3.0 215:3.0 216:12.0 217:19.0 218:1467.0 219:1396.0 220:308.0 221:145.0 222:21.0 223:6.0 224:7.0 225:1.0 228:1.0 229:3.0 230:43.0 231:12.0 232:10.0 234:4.0 235:8.0 236:6.0 240:1.0 242:4.0 243:2.0 245:4.0 247:8.0 248:8.0 249:1.0 251:2.0 252:2.0 257:1.0 258:4.0 260:3.0 262:3.0 263:5.0 265:1.0 266:1.0 267:3.0 268:2.0 273:5.0 275:3.0 276:1.0 278:3.0 280:6.0 283:2.0 285:4.0 287:1.0 290:5.0 291:304.0 292:228.0 293:79.0 294:21.0 295:4.0 297:1.0 298:3.0 299:9.0 301:2.0 303:1.0 306:1.0 311:2.0 312:4.0 317:5.0 319:1.0 320:37.0 321:22.0 322:6.0 326:1.0 329:1.0 330:2.0 332:3.0 333:1.0 334:1.0 336:2.0 337:2.0 341:5.0 342:5.0 345:5.0 347:1.0 349:2.0 350:1.0 351:3.0 354:3.0 355:5.0 356:1.0 357:5.0 361:2.0 366:5.0 368:2.0 369:2.0 372:1.0 373:8.0 374:2.0 376:3.0 377:1.0 378:4.0 379:3.0 380:4.0 382:7.0 385:1.0 386:1.0 387:1.0 388:5.0 393:2.0 395:4.0 396:1.0 397:6.0 398:3.0 399:1.0 404:1.0 405:4.0 407:5.0 410:3.0 412:9.0 414:3.0 415:4.0 416:1.0 418:1.0 420:1.0 422:2.0 423:1.0 424:1.0 426:1.0 428:6.0 430:2.0 431:4.0 433:5.0 435:2.0 439:1.0 440:4.0 441:1.0 442:1.0 443:4.0 445:1.0 447:1.0 448:1.0 449:6.0 451:2.0 453:2.0 454:5.0 455:5.0 456:1.0 457:2.0 458:5.0 459:1.0 460:1.0 461:2.0 463:9.0 466:1.0 469:1.0 470:9.0 473:4.0 474:2.0 475:3.0 476:4.0 481:1.0 487:4.0 488:2.0 489:2.0 490:1.0 491:2.0 492:9.0 494:2.0 495:3.0 496:2.0 498:1.0 499:2.0 500:2.0</t>
  </si>
  <si>
    <t>taurine</t>
  </si>
  <si>
    <t>556913</t>
  </si>
  <si>
    <t>326</t>
  </si>
  <si>
    <t>85:5296.0 86:67964.0 87:10659.0 88:4801.0 89:2443.0 90:833.0 91:1200.0 92:840.0 93:3213.0 94:464.0 95:2166.0 96:416.0 97:453.0 98:3018.0 99:4183.0 100:120571.0 101:15909.0 102:10529.0 103:6292.0 104:1648.0 105:2817.0 106:695.0 107:691.0 108:338.0 109:144.0 110:385.0 111:214.0 112:384.0 113:8070.0 114:25269.0 115:11212.0 116:9628.0 117:12427.0 118:2534.0 119:7189.0 120:1053.0 121:727.0 122:1303.0 123:1687.0 124:314.0 125:254.0 126:188.0 127:338.0 128:554.0 129:2772.0 130:56127.0 131:27094.0 132:9772.0 133:77919.0 134:11753.0 135:6842.0 136:780.0 137:1139.0 138:313.0 139:276.0 140:125.0 141:207.0 142:614.0 143:363.0 144:961.0 145:660.0 146:6598.0 147:221643.0 148:34356.0 149:19639.0 150:2247.0 151:1503.0 152:1407.0 153:2620.0 154:383.0 155:214.0 156:643.0 157:191.0 158:2595.0 159:595.0 160:19510.0 161:3603.0 162:1582.0 163:143.0 164:158.0 165:704.0 166:138.0 167:95.0 168:37.0 169:11.0 170:231.0 171:434.0 172:18182.0 173:3751.0 174:80397.0 175:14826.0 176:6758.0 177:1306.0 178:330.0 179:119.0 180:353.0 181:280.0 182:103.0 183:71.0 184:130.0 185:43.0 186:292.0 187:1104.0 188:39582.0 189:8015.0 190:3633.0 191:870.0 192:238.0 193:163.0 194:163.0 195:767.0 196:2388.0 197:537.0 198:350.0 199:114.0 200:73.0 201:18.0 202:108.0 203:70.0 204:1075.0 205:454.0 206:243.0 207:170.0 208:76.0 209:272.0 210:542.0 211:4067.0 212:741.0 213:509.0 214:100.0 215:57.0 216:69.0 217:36.0 218:80.0 219:23.0 220:51.0 221:71.0 222:102.0 223:38.0 224:88.0 225:25708.0 226:4587.0 227:3407.0 228:482.0 229:195.0 230:68.0 231:70.0 232:56.0 233:29.0 234:41.0 235:9.0 236:31.0 237:47.0 238:14894.0 239:2722.0 240:2089.0 241:607.0 242:191.0 243:87.0 244:68.0 245:29.0 246:162.0 247:46.0 248:6923.0 249:1803.0 250:852.0 251:142.0 252:790.0 253:204.0 254:592.0 255:154.0 256:92.0 257:37.0 258:47.0 259:28.0 260:26.0 261:31.0 262:235.0 263:81.0 264:59.0 265:53.0 266:83.0 267:59.0 268:99.0 269:63.0 270:76.0 271:82.0 272:67.0 273:65.0 274:46.0 275:31.0 276:64.0 277:52.0 278:58.0 279:53.0 280:70.0 281:69.0 282:90.0 283:89.0 284:94.0 285:71.0 286:85.0 287:78.0 288:77.0 289:60.0 290:60.0 291:62.0 292:47.0 293:60.0 294:74.0 295:57.0 296:83.0 297:65.0 298:69.0 299:81.0 300:69.0 301:51.0 302:30.0 303:32.0 304:21.0 305:7.0 306:8.0 307:17.0 308:6.0 309:7.0 310:33.0 311:13.0 312:54.0 313:29.0 314:3.0 315:22.0 316:10.0 317:2.0 318:5.0 319:3.0 320:5.0 321:12.0 322:4.0 323:20.0 324:121.0 325:2983.0 326:105990.0 327:31215.0 328:20198.0 329:4474.0 330:1468.0 331:279.0 332:106.0 333:55.0 334:26.0 335:19.0 336:17.0 337:10.0 338:6.0 340:5.0 343:16.0 345:19.0 346:24.0 347:36.0 348:38.0 349:29.0 350:23.0 351:12.0 352:7.0 353:4.0 355:1.0 359:8.0 360:6.0 361:6.0 362:22.0 363:10.0 364:16.0 365:17.0 366:14.0 367:25.0 368:13.0 369:4.0 370:7.0 373:1.0 376:2.0 377:10.0 378:9.0 379:9.0 380:29.0 381:22.0 382:20.0 383:18.0 384:11.0 385:13.0 386:11.0 387:3.0 389:1.0 393:14.0 394:1.0 395:20.0 396:11.0 397:13.0 398:15.0 399:14.0 400:19.0 401:3.0 402:5.0 406:7.0 412:10.0 413:16.0 414:18.0 415:15.0 416:11.0 417:19.0 418:3.0 419:10.0 420:1.0 421:4.0 422:4.0 424:5.0 425:12.0 427:2.0 428:2.0 430:4.0 431:8.0 432:14.0 433:8.0 434:21.0 435:7.0 436:18.0 437:2.0 439:2.0 442:8.0 444:2.0 445:4.0 446:19.0 447:19.0 448:4.0 449:8.0 450:4.0 451:6.0 452:10.0 453:9.0 454:8.0 455:9.0 457:5.0 458:3.0 459:3.0 460:7.0 461:15.0 462:6.0 463:2.0 464:2.0 465:3.0 466:17.0 467:9.0 468:13.0 469:12.0 470:13.0 471:3.0 472:12.0 473:10.0 474:1.0 475:6.0 476:1.0 477:2.0 478:9.0 479:3.0 481:7.0 482:5.0 483:3.0 485:11.0 486:14.0 487:5.0 489:19.0 490:9.0 491:10.0 492:12.0 493:11.0 494:8.0 495:1.0 497:10.0 498:19.0 499:3.0 500:12.0</t>
  </si>
  <si>
    <t>talose</t>
  </si>
  <si>
    <t>655071</t>
  </si>
  <si>
    <t>160</t>
  </si>
  <si>
    <t>85:463.0 86:4544.0 87:463.0 88:2301.0 89:24150.0 90:2115.0 94:49.0 96:185.0 97:1062.0 98:748.0 99:1248.0 100:10181.0 101:1951.0 102:5313.0 103:56720.0 104:5478.0 105:17912.0 106:2055.0 107:628.0 108:107.0 110:546.0 111:94.0 112:1408.0 113:390.0 114:8350.0 115:1823.0 116:624.0 117:46567.0 118:4864.0 119:2638.0 120:522.0 121:231.0 122:149.0 123:59.0 124:162.0 125:5.0 126:983.0 127:211.0 128:2685.0 129:59775.0 130:12019.0 131:7753.0 132:1615.0 133:18574.0 134:503.0 135:1247.0 136:134.0 137:31.0 138:372.0 139:166.0 140:581.0 141:137.0 142:2186.0 143:6271.0 144:991.0 145:4064.0 146:1225.0 147:64914.0 148:10439.0 149:9224.0 150:1355.0 151:517.0 152:634.0 153:248.0 154:684.0 155:689.0 156:539.0 157:56863.0 158:11151.0 159:4278.0 160:175275.0 161:29132.0 162:8883.0 163:6202.0 164:1529.0 165:892.0 166:517.0 167:431.0 168:1356.0 169:1177.0 170:953.0 171:687.0 172:2752.0 173:2495.0 174:1783.0 175:1853.0 176:1070.0 177:3066.0 178:1092.0 179:734.0 180:881.0 181:600.0 182:659.0 183:368.0 184:382.0 185:297.0 186:2584.0 187:880.0 188:892.0 189:5192.0 190:4395.0 191:3655.0 192:714.0 193:330.0 194:60.0 195:18.0 196:520.0 197:8.0 198:432.0 199:51.0 200:871.0 201:5106.0 202:1665.0 203:779.0 204:47200.0 205:209159.0 206:42583.0 207:19779.0 208:3201.0 209:1245.0 210:3612.0 211:1076.0 212:872.0 213:523.0 214:1141.0 215:1130.0 216:7183.0 217:21986.0 218:1061.0 219:980.0 220:586.0 221:2434.0 222:1188.0 223:1168.0 224:776.0 225:636.0 226:718.0 227:329.0 228:1516.0 229:23770.0 230:6033.0 231:8676.0 232:3507.0 233:4836.0 234:3908.0 235:1282.0 236:539.0 237:426.0 238:319.0 239:234.0 240:938.0 241:534.0 242:885.0 243:1774.0 244:2220.0 245:1278.0 246:2795.0 247:1368.0 248:723.0 249:327.0 250:238.0 251:218.0 252:216.0 253:270.0 254:406.0 255:223.0 256:1255.0 258:66.0 259:588.0 260:841.0 261:511.0 262:5349.0 263:1339.0 264:518.0 265:805.0 266:222.0 267:148.0 268:1117.0 269:2365.0 270:1242.0 271:511.0 272:124.0 273:26.0 274:5255.0 275:1929.0 276:1401.0 277:4781.0 278:1967.0 279:828.0 280:182.0 281:47.0 282:53.0 283:62.0 284:131.0 285:76.0 286:230.0 287:114.0 288:103.0 289:77.0 290:332.0 291:6894.0 292:2766.0 293:1222.0 294:188.0 295:56.0 296:62.0 297:45.0 298:32.0 299:36.0 300:1583.0 301:419.0 302:510.0 304:108.0 305:3365.0 306:850.0 307:64.0 308:57.0 312:7.0 313:3.0 314:77.0 315:60.0 316:129.0 317:36.0 318:1418.0 319:157553.0 320:50367.0 321:25759.0 322:5815.0 323:1749.0 324:473.0 325:320.0 326:291.0 327:289.0 328:438.0 329:311.0 330:614.0 331:623.0 332:837.0 333:663.0 334:227.0 335:63.0 336:361.0 337:220.0 338:248.0 339:252.0 340:234.0 341:240.0 342:470.0 343:1594.0 344:1547.0 345:882.0 346:403.0 347:81.0 348:54.0 349:14.0 350:92.0 351:88.0 352:70.0 353:61.0 354:27.0 355:14.0 356:36.0 357:73.0 358:434.0 359:172.0 360:78.0 361:14.0 363:72.0 364:4145.0 365:2137.0 366:782.0 367:178.0 368:45.0 369:26.0 370:2.0 371:13.0 372:20.0 373:78.0 374:1797.0 375:617.0 376:1481.0 377:377.0 378:164.0 379:86.0 380:23.0 383:12.0 384:2.0 385:6.0 386:4.0 388:23.0 389:196.0 390:347.0 391:144.0 392:60.0 393:100.0 394:52.0 395:15.0 402:19.0 403:4.0 404:11.0 405:63.0 406:3.0 407:7.0 408:11.0 409:75.0 410:14.0 411:4.0 412:1.0 413:1.0 415:1.0 416:2.0 418:12.0 419:9.0 420:93.0 421:60.0 422:39.0 431:23.0 432:138.0 433:119.0 434:51.0 435:36.0 446:1.0 447:33.0 448:257.0 449:146.0 450:76.0 451:8.0 452:1.0 463:70.0 464:639.0 465:424.0 466:825.0 467:386.0 468:161.0 469:61.0 470:4.0 472:1.0 479:40.0 480:99.0 481:51.0 482:14.0 483:2.0 489:3.0</t>
  </si>
  <si>
    <t>630162</t>
  </si>
  <si>
    <t>307</t>
  </si>
  <si>
    <t>85:1261.0 86:465.0 87:1528.0 88:1994.0 89:21939.0 90:1880.0 91:469.0 92:24.0 93:11.0 94:166.0 96:2.0 97:4.0 98:549.0 99:823.0 100:3942.0 101:3968.0 102:1229.0 103:179111.0 104:17332.0 105:7517.0 106:429.0 107:108.0 108:120.0 110:8.0 111:287.0 112:134.0 113:1612.0 114:3818.0 115:1824.0 116:1769.0 117:21959.0 118:2629.0 119:2922.0 120:257.0 121:3.0 122:51.0 124:26.0 125:5.0 126:886.0 127:325.0 128:1144.0 129:10849.0 130:2463.0 131:6566.0 132:1306.0 133:21593.0 134:2475.0 135:1306.0 136:1.0 137:1.0 140:119.0 141:139.0 142:1500.0 143:2169.0 144:419.0 145:1578.0 146:437.0 147:48943.0 148:7866.0 149:5027.0 150:361.0 151:179.0 152:162.0 154:275.0 155:103.0 156:434.0 157:7.0 158:570.0 159:454.0 163:1305.0 164:205.0 165:98.0 166:29.0 167:37.0 168:153.0 169:176.0 170:118.0 172:5203.0 173:5923.0 174:1227.0 175:1704.0 176:186.0 177:1008.0 178:179.0 179:1.0 180:220.0 181:75.0 182:63.0 183:26.0 185:36.0 186:389.0 187:220.0 188:804.0 189:12391.0 190:2727.0 191:4821.0 192:861.0 193:110.0 194:3.0 195:9.0 196:120.0 197:1.0 198:180.0 199:6.0 200:233.0 201:2562.0 202:1701.0 203:913.0 204:3968.0 205:5561.0 206:1280.0 207:889.0 208:234.0 209:3.0 210:1.0 211:2.0 214:920.0 215:172.0 216:1380.0 217:69506.0 218:14406.0 219:6064.0 220:750.0 221:1268.0 222:418.0 223:54.0 224:1.0 225:4.0 226:74.0 227:49.0 228:64.0 229:64.0 230:699.0 231:1430.0 232:506.0 233:295.0 234:100.0 235:601.0 236:106.0 237:61.0 239:14.0 240:153.0 241:7.0 242:239.0 243:247.0 244:688.0 246:391.0 247:83.0 248:160.0 249:48.0 250:13.0 251:44.0 254:55.0 255:54.0 256:624.0 257:36.0 258:2.0 259:10.0 260:706.0 261:326.0 262:724.0 263:1910.0 264:422.0 265:284.0 266:52.0 267:8.0 268:103.0 269:27.0 270:108.0 271:24.0 272:60.0 273:135.0 274:182.0 275:357.0 276:558.0 277:5026.0 278:1491.0 279:704.0 280:91.0 281:1.0 282:2.0 283:51.0 284:2.0 285:3.0 286:25.0 287:65.0 288:245.0 289:26.0 290:68.0 291:876.0 292:307.0 293:196.0 294:36.0 296:2.0 299:1.0 300:37.0 302:211.0 303:159.0 304:152.0 305:265.0 306:304.0 307:20693.0 308:6123.0 309:3090.0 310:604.0 311:114.0 313:17.0 314:9.0 315:16.0 318:186.0 329:9.0 330:212.0 331:77.0 332:67.0 333:190.0 334:445.0 335:984.0 336:407.0 337:79.0 342:8.0 343:1.0 344:7.0 347:26.0 350:47.0 355:5.0 358:3.0 359:13.0 361:17.0 363:54.0 364:2362.0 365:757.0 366:281.0 367:37.0 371:22.0 372:15.0 373:6.0 374:3.0 375:1.0 376:89.0 377:35.0 378:49.0 385:6.0 392:2.0 393:15.0 413:8.0 419:15.0 421:3.0 424:25.0 436:4.0 437:21.0 447:2.0 462:2.0 463:1.0 485:3.0</t>
  </si>
  <si>
    <t>sucrose</t>
  </si>
  <si>
    <t>915457</t>
  </si>
  <si>
    <t>271</t>
  </si>
  <si>
    <t>85:3981.0 86:293.0 87:3599.0 88:1888.0 89:7902.0 90:405.0 94:202.0 95:878.0 97:2349.0 98:493.0 99:5155.0 100:380.0 101:12258.0 102:5648.0 103:153839.0 104:14863.0 105:7036.0 106:10.0 109:9388.0 111:4562.0 112:656.0 113:7191.0 114:1690.0 115:5383.0 116:5453.0 117:36010.0 118:3629.0 119:4634.0 120:416.0 121:320.0 122:119.0 123:219.0 124:144.0 125:1440.0 127:2918.0 128:1313.0 129:118534.0 130:12850.0 131:23456.0 132:3515.0 133:35688.0 134:1342.0 135:3475.0 136:251.0 137:300.0 138:151.0 139:3770.0 140:1131.0 141:5771.0 142:4895.0 143:22508.0 144:3274.0 145:5986.0 146:1016.0 147:189442.0 148:29715.0 149:25049.0 150:3203.0 151:2781.0 152:430.0 153:4591.0 154:1319.0 155:18226.0 156:3478.0 157:22786.0 158:3218.0 159:3513.0 160:560.0 161:2141.0 162:396.0 163:4026.0 164:569.0 165:330.0 166:254.0 167:1590.0 168:404.0 169:117515.0 170:17850.0 171:10211.0 172:1316.0 173:4325.0 174:786.0 175:3698.0 176:565.0 177:4205.0 178:644.0 179:354.0 180:122.0 181:1139.0 182:578.0 183:7435.0 184:787.0 185:2197.0 186:438.0 187:1607.0 188:394.0 189:24663.0 190:5980.0 191:35241.0 192:6466.0 193:3148.0 194:222.0 195:283.0 196:229.0 197:480.0 198:264.0 199:3356.0 200:528.0 201:2382.0 202:1082.0 203:8040.0 204:17238.0 205:14091.0 206:3710.0 207:2776.0 208:630.0 209:341.0 210:138.0 211:353.0 212:179.0 213:490.0 214:256.0 215:7491.0 216:2261.0 217:180363.0 218:43419.0 219:20441.0 220:3536.0 221:8360.0 222:1910.0 223:1108.0 224:254.0 225:276.0 226:161.0 227:2982.0 228:839.0 229:10146.0 230:11800.0 231:9900.0 232:3099.0 233:3614.0 234:1135.0 235:459.0 236:182.0 237:201.0 238:149.0 239:648.0 240:266.0 241:3031.0 242:1172.0 243:43042.0 244:11391.0 245:12083.0 246:3185.0 247:3625.0 248:763.0 249:365.0 250:164.0 251:113.0 252:127.0 253:143.0 254:176.0 255:1996.0 256:911.0 257:12260.0 258:3171.0 259:5090.0 260:1220.0 261:582.0 262:309.0 263:676.0 264:308.0 265:879.0 266:279.0 267:145.0 268:105.0 269:245.0 270:539.0 271:55137.0 272:13687.0 273:8945.0 274:1862.0 275:1047.0 276:307.0 277:728.0 278:465.0 279:369.0 280:148.0 282:19.0 283:95.0 284:169.0 285:202.0 286:173.0 287:325.0 288:325.0 289:881.0 290:433.0 291:4429.0 292:1577.0 293:1671.0 294:443.0 295:219.0 296:131.0 297:113.0 298:110.0 299:92.0 300:133.0 301:216.0 302:184.0 303:1307.0 304:915.0 305:4517.0 306:2310.0 307:1295.0 308:315.0 309:190.0 310:163.0 311:128.0 313:85.0 314:95.0 315:186.0 316:159.0 317:2011.0 318:1380.0 319:14357.0 320:6755.0 321:3012.0 322:772.0 323:234.0 324:136.0 325:56.0 326:79.0 327:41.0 328:90.0 329:146.0 330:269.0 331:6158.0 332:3352.0 333:1950.0 334:650.0 335:353.0 336:197.0 337:122.0 338:82.0 339:35.0 340:29.0 342:110.0 343:148.0 344:153.0 345:1472.0 346:837.0 347:1114.0 348:535.0 349:377.0 350:166.0 351:93.0 352:73.0 353:54.0 354:46.0 356:12.0 357:22.0 358:33.0 359:192.0 360:2834.0 361:139168.0 362:51542.0 363:26961.0 364:6704.0 365:2175.0 366:504.0 367:308.0 368:162.0 369:139.0 370:151.0 371:129.0 372:110.0 373:280.0 374:236.0 375:125.0 376:94.0 377:187.0 378:219.0 379:245.0 380:150.0 381:178.0 382:162.0 383:153.0 384:131.0 385:133.0 386:111.0 387:83.0 388:79.0 389:51.0 390:47.0 391:56.0 392:43.0 393:119.0 394:102.0 395:122.0 396:153.0 397:123.0 398:161.0 399:149.0 400:139.0 401:134.0 402:114.0 403:104.0 404:119.0 405:141.0 406:116.0 407:126.0 408:97.0 409:96.0 410:85.0 411:85.0 412:126.0 413:127.0 414:122.0 415:88.0 416:115.0 417:121.0 418:121.0 419:97.0 420:101.0 421:111.0 422:112.0 423:82.0 424:75.0 425:64.0 426:71.0 427:88.0 428:80.0 429:56.0 430:58.0 431:54.0 432:53.0 433:121.0 434:129.0 435:616.0 436:1591.0 437:15681.0 438:9747.0 439:4867.0 440:1595.0 441:433.0 442:134.0 443:48.0 444:18.0 445:38.0 446:48.0 447:27.0 448:46.0 449:155.0 450:1811.0 451:10063.0 452:4687.0 453:2413.0 454:621.0 455:219.0 456:52.0 457:29.0 458:29.0 459:31.0 460:16.0 461:31.0 462:67.0 463:293.0 464:300.0 465:139.0 466:100.0 467:203.0 468:70.0 469:47.0 470:8.0 471:3.0 472:2.0 473:2.0 474:17.0 475:13.0 476:10.0 477:13.0 478:7.0 479:24.0 480:14.0 481:81.0 482:34.0 483:24.0 484:5.0 489:1.0 490:2.0 491:4.0 492:7.0 493:3.0 494:2.0 495:2.0 498:3.0 499:2.0 500:6.0</t>
  </si>
  <si>
    <t>succinic acid</t>
  </si>
  <si>
    <t>370518</t>
  </si>
  <si>
    <t>247</t>
  </si>
  <si>
    <t>85:668.0 86:529.0 87:317.0 88:94.0 89:164.0 90:25.0 91:33.0 92:73.0 93:121.0 94:10.0 95:40.0 96:19.0 97:39.0 98:6.0 99:154.0 100:48.0 101:331.0 102:52.0 103:140.0 104:19.0 105:108.0 106:28.0 107:63.0 108:6.0 109:1.0 110:18.0 111:15.0 112:12.0 113:291.0 114:53.0 115:394.0 116:486.0 117:689.0 118:70.0 119:94.0 120:4.0 121:4.0 122:6.0 123:3.0 124:1.0 126:20.0 127:21.0 128:83.0 129:3177.0 130:695.0 131:781.0 132:39.0 133:1170.0 134:52.0 135:119.0 136:10.0 138:8.0 140:1.0 141:18.0 142:4.0 143:206.0 144:12.0 145:102.0 146:53.0 147:24628.0 148:3930.0 149:2098.0 150:189.0 151:65.0 152:9.0 153:3.0 154:1.0 155:9.0 156:36.0 157:122.0 158:9.0 159:2.0 161:1.0 162:2.0 163:27.0 165:6.0 166:2.0 172:879.0 173:450.0 174:4.0 175:71.0 176:3.0 178:3.0 180:1.0 184:19.0 185:25.0 186:20.0 190:58.0 191:38.0 192:3.0 193:2.0 196:7.0 197:3.0 198:7.0 199:1.0 201:7.0 203:73.0 204:16.0 205:5.0 206:1.0 207:5.0 208:1.0 209:1.0 210:2.0 211:1.0 212:2.0 213:3.0 214:3.0 215:4.0 217:81.0 218:121.0 219:83.0 220:11.0 221:4.0 226:2.0 228:5.0 230:5.0 233:4.0 234:4.0 236:2.0 238:6.0 242:5.0 245:2.0 247:1379.0 248:245.0 249:108.0 250:9.0 251:11.0 253:4.0 254:2.0 256:2.0 259:2.0 260:4.0 262:37.0 263:5.0 264:2.0 265:5.0 268:2.0 270:1.0 271:2.0 274:1.0 277:1.0 285:1.0 286:2.0 289:3.0 291:6.0 295:1.0 297:4.0 298:2.0 300:5.0 305:4.0 306:51.0 307:17.0 309:2.0 315:1.0 319:6.0 320:2.0 322:4.0 323:1.0 324:7.0 327:3.0 328:3.0 331:1.0 338:1.0 339:4.0 340:3.0 341:2.0 346:2.0 350:2.0 352:8.0 353:3.0 354:2.0 359:4.0 360:7.0 361:3.0 369:4.0 374:2.0 375:3.0 377:4.0 378:2.0 382:2.0 383:3.0 384:3.0 386:4.0 387:3.0 388:3.0 389:3.0 390:6.0 392:12.0 394:4.0 395:7.0 396:3.0 398:5.0 399:4.0 400:5.0 401:6.0 402:3.0 404:2.0 407:8.0 408:6.0 409:2.0 411:2.0 412:4.0 420:2.0 421:4.0 424:2.0 425:3.0 427:7.0 428:2.0 432:5.0 434:2.0 435:2.0 436:5.0 441:1.0 444:7.0 446:1.0 447:1.0 448:2.0 450:1.0 454:1.0 457:2.0 458:3.0 460:5.0 461:2.0 462:4.0 464:3.0 466:4.0 467:1.0 471:1.0 472:2.0 473:1.0 474:4.0 478:3.0 480:1.0 482:3.0 483:1.0 484:1.0 485:5.0 487:1.0 490:1.0 491:1.0 493:1.0 494:3.0 495:3.0 497:7.0 498:1.0 499:3.0</t>
  </si>
  <si>
    <t>stearic acid</t>
  </si>
  <si>
    <t>787358</t>
  </si>
  <si>
    <t>85:700.0 86:253.0 87:125.0 88:82.0 89:447.0 90:48.0 91:171.0 92:25.0 93:426.0 94:40.0 95:1020.0 96:117.0 97:1024.0 98:749.0 99:386.0 100:49.0 101:187.0 102:22.0 105:450.0 106:48.0 107:188.0 108:13.0 109:271.0 110:45.0 111:412.0 112:177.0 113:76.0 114:7.0 115:100.0 116:947.0 117:16820.0 118:1585.0 119:678.0 120:23.0 121:138.0 122:16.0 123:71.0 124:16.0 125:94.0 126:45.0 127:79.0 128:37.0 129:7299.0 130:922.0 131:2322.0 132:6198.0 133:1200.0 134:270.0 135:99.0 136:9.0 137:9.0 138:16.0 139:36.0 140:22.0 141:52.0 142:5.0 143:471.0 144:53.0 145:3620.0 146:435.0 147:90.0 148:23.0 151:6.0 152:2.0 153:30.0 154:45.0 155:20.0 156:1.0 157:120.0 158:25.0 159:298.0 160:29.0 161:8.0 163:5.0 165:3.0 167:22.0 168:18.0 169:10.0 170:3.0 171:256.0 172:27.0 173:65.0 174:24.0 176:3.0 178:10.0 179:5.0 180:3.0 181:13.0 182:4.0 183:3.0 185:345.0 186:52.0 187:218.0 188:70.0 190:1.0 191:6.0 193:6.0 194:7.0 195:1.0 196:5.0 197:9.0 198:6.0 199:80.0 200:3.0 201:569.0 202:92.0 203:32.0 207:39.0 209:11.0 210:18.0 211:3.0 212:2.0 213:58.0 214:22.0 215:80.0 216:12.0 217:3.0 219:6.0 222:10.0 223:36.0 224:11.0 225:3.0 226:1.0 227:71.0 228:28.0 229:32.0 230:5.0 234:1.0 237:6.0 238:7.0 239:12.0 241:76.0 242:14.0 243:69.0 244:24.0 245:7.0 246:6.0 251:7.0 254:3.0 255:48.0 256:1.0 257:112.0 258:24.0 259:7.0 261:8.0 262:4.0 264:4.0 266:3.0 267:1.0 269:20.0 270:5.0 271:37.0 272:6.0 274:1.0 275:1.0 276:1.0 278:1.0 280:3.0 281:11.0 282:2.0 283:16.0 284:2.0 285:26.0 286:7.0 287:2.0 288:5.0 289:1.0 291:2.0 292:3.0 293:4.0 296:3.0 297:108.0 298:28.0 299:44.0 300:19.0 301:2.0 303:6.0 304:3.0 310:2.0 311:6.0 312:2.0 313:109.0 314:50.0 315:19.0 316:1.0 317:2.0 320:7.0 323:15.0 327:13.0 328:17.0 330:1.0 331:1.0 332:3.0 334:3.0 336:1.0 337:1.0 339:16.0 340:74.0 341:1836.0 342:838.0 343:224.0 344:38.0 345:2.0 346:8.0 347:5.0 349:2.0 350:2.0 351:5.0 352:1.0 353:14.0 355:2.0 356:165.0 357:88.0 358:13.0 359:2.0 362:3.0 365:4.0 366:9.0 367:3.0 369:8.0 370:2.0 373:1.0 374:1.0 375:3.0 376:1.0 377:2.0 378:1.0 379:1.0 380:6.0 381:1.0 382:3.0 384:6.0 385:5.0 386:2.0 388:1.0 391:5.0 395:3.0 397:3.0 398:4.0 399:2.0 400:4.0 401:3.0 402:7.0 406:8.0 409:1.0 410:1.0 412:4.0 415:1.0 421:1.0 422:7.0 424:1.0 425:6.0 426:3.0 430:4.0 431:2.0 432:3.0 434:2.0 435:4.0 436:1.0 437:1.0 438:2.0 439:3.0 440:4.0 443:1.0 445:9.0 446:1.0 447:3.0 448:1.0 449:4.0 450:1.0 451:6.0 452:5.0 453:5.0 454:8.0 455:2.0 460:1.0 462:2.0 467:6.0 470:8.0 472:7.0 479:1.0 485:2.0 487:1.0 490:1.0 496:1.0 497:1.0 500:3.0</t>
  </si>
  <si>
    <t>640798</t>
  </si>
  <si>
    <t>85:1834.0 86:744.0 87:1240.0 88:1039.0 89:18724.0 90:1456.0 91:540.0 92:62.0 94:170.0 98:359.0 99:847.0 100:2729.0 101:3894.0 102:1200.0 103:108806.0 104:10099.0 105:6342.0 106:240.0 107:69.0 109:39.0 110:208.0 111:287.0 112:75.0 113:1440.0 114:7962.0 115:2103.0 116:1660.0 117:13810.0 118:1806.0 119:2417.0 120:251.0 121:46.0 124:68.0 125:93.0 126:344.0 127:456.0 128:918.0 129:9598.0 130:2066.0 131:5259.0 132:690.0 133:12636.0 134:1413.0 135:811.0 138:40.0 140:330.0 141:148.0 142:1363.0 143:1775.0 144:437.0 145:851.0 146:149.0 147:41696.0 148:6524.0 149:4255.0 150:393.0 151:118.0 152:70.0 153:49.0 154:126.0 155:114.0 156:527.0 157:1703.0 158:548.0 159:441.0 160:75.0 161:268.0 162:10.0 163:1526.0 164:148.0 165:75.0 166:56.0 167:21.0 168:361.0 169:123.0 170:544.0 171:163.0 172:1681.0 173:2863.0 174:878.0 175:1305.0 176:184.0 177:425.0 178:61.0 179:84.0 180:256.0 181:56.0 182:101.0 183:43.0 184:109.0 185:47.0 186:282.0 187:162.0 189:5409.0 190:1324.0 191:3592.0 192:620.0 193:244.0 194:42.0 195:31.0 196:318.0 197:40.0 198:596.0 199:156.0 200:338.0 201:1493.0 202:1334.0 203:1013.0 204:3461.0 205:4965.0 206:1141.0 207:697.0 208:99.0 209:23.0 210:26.0 212:50.0 214:328.0 215:158.0 216:1146.0 217:49387.0 218:10355.0 219:4621.0 220:611.0 221:1349.0 222:292.0 223:141.0 224:19.0 226:28.0 227:2.0 228:124.0 229:291.0 230:321.0 231:981.0 232:365.0 233:141.0 234:28.0 235:40.0 236:9.0 239:14.0 240:195.0 241:58.0 242:73.0 243:163.0 244:923.0 245:385.0 246:204.0 247:110.0 248:64.0 249:4.0 251:63.0 253:61.0 254:97.0 255:77.0 256:353.0 257:95.0 258:38.0 259:32.0 260:236.0 261:83.0 262:2576.0 263:1273.0 264:437.0 265:183.0 266:55.0 267:48.0 268:259.0 269:14.0 270:242.0 271:64.0 272:103.0 273:49.0 274:38.0 275:126.0 276:269.0 277:3585.0 278:957.0 279:470.0 280:70.0 281:65.0 282:7.0 284:22.0 286:82.0 287:3.0 288:168.0 289:53.0 290:5.0 291:547.0 292:175.0 293:95.0 294:40.0 297:38.0 298:8.0 299:31.0 300:149.0 301:67.0 302:94.0 303:94.0 304:111.0 305:283.0 306:270.0 307:15689.0 308:4613.0 309:2190.0 310:388.0 311:107.0 312:2.0 314:6.0 315:7.0 316:13.0 317:2.0 318:190.0 319:474.0 320:120.0 321:48.0 323:22.0 326:10.0 327:26.0 328:63.0 329:5.0 330:208.0 331:67.0 332:74.0 333:378.0 334:334.0 335:753.0 336:328.0 337:112.0 338:32.0 339:8.0 341:18.0 342:35.0 343:25.0 344:70.0 345:61.0 346:32.0 348:21.0 350:131.0 351:82.0 352:16.0 355:22.0 356:8.0 358:87.0 359:44.0 360:100.0 363:24.0 364:1796.0 365:551.0 366:303.0 367:39.0 369:4.0 375:10.0 376:127.0 377:86.0 378:37.0 379:19.0 380:4.0 384:11.0 387:5.0 388:13.0 389:37.0 390:103.0 391:67.0 392:34.0 393:9.0 394:9.0 399:7.0 401:13.0 404:18.0 405:3.0 406:2.0 407:2.0 408:16.0 410:14.0 417:16.0 420:9.0 421:3.0 427:23.0 432:26.0 433:53.0 434:62.0 435:42.0 436:3.0 437:22.0 442:5.0 443:6.0 445:2.0 448:23.0 463:25.0 464:87.0 465:47.0 466:86.0 467:18.0 468:22.0 470:11.0 472:7.0 476:6.0 488:5.0 489:7.0 492:19.0 495:9.0</t>
  </si>
  <si>
    <t>sorbitol</t>
  </si>
  <si>
    <t>667682</t>
  </si>
  <si>
    <t>103</t>
  </si>
  <si>
    <t>85:27.0 88:43.0 89:178.0 90:11.0 95:9.0 97:28.0 98:7.0 99:26.0 101:120.0 102:14.0 103:1548.0 104:129.0 105:55.0 106:14.0 111:16.0 113:34.0 115:31.0 116:43.0 117:739.0 118:75.0 119:72.0 122:6.0 126:1.0 129:500.0 130:79.0 131:153.0 132:19.0 133:372.0 134:59.0 135:10.0 136:3.0 140:2.0 141:12.0 142:1.0 143:55.0 144:15.0 145:20.0 146:2.0 147:2118.0 148:293.0 149:172.0 150:12.0 151:12.0 154:3.0 155:21.0 156:4.0 157:369.0 158:37.0 159:33.0 161:4.0 162:1.0 163:23.0 165:7.0 169:17.0 171:19.0 173:14.0 175:28.0 177:6.0 178:3.0 182:6.0 183:44.0 184:3.0 186:4.0 187:1.0 189:212.0 190:50.0 191:163.0 192:30.0 193:8.0 194:3.0 197:2.0 201:6.0 202:8.0 203:18.0 204:220.0 205:850.0 206:189.0 207:75.0 208:4.0 210:3.0 212:2.0 217:762.0 218:173.0 219:92.0 220:5.0 221:40.0 222:9.0 223:7.0 226:1.0 227:6.0 229:89.0 230:49.0 231:84.0 232:19.0 233:4.0 234:1.0 235:1.0 238:3.0 243:1.0 246:4.0 249:2.0 255:28.0 256:1.0 257:7.0 259:14.0 260:13.0 262:2.0 263:3.0 264:1.0 265:10.0 269:2.0 272:1.0 275:4.0 277:31.0 278:10.0 279:4.0 285:2.0 286:1.0 291:22.0 292:1.0 293:1.0 296:1.0 297:5.0 298:5.0 300:3.0 302:1.0 304:1.0 305:49.0 306:15.0 307:143.0 308:24.0 309:12.0 315:4.0 317:1.0 319:551.0 320:196.0 321:83.0 322:5.0 323:2.0 325:5.0 326:5.0 329:5.0 331:27.0 332:3.0 337:6.0 339:1.0 345:30.0 347:1.0 348:3.0 349:1.0 353:1.0 360:2.0 361:5.0 372:6.0 376:5.0 381:3.0 384:7.0 385:7.0 389:4.0 391:1.0 403:9.0 409:3.0 411:7.0 417:5.0 418:1.0 419:8.0 421:7.0 422:6.0 423:1.0 424:4.0 426:1.0 427:2.0 432:1.0 433:2.0 435:1.0 437:3.0 447:3.0 451:2.0 456:5.0 459:3.0 461:2.0 463:1.0 465:1.0 471:4.0 475:5.0 476:6.0 478:12.0 483:2.0 488:4.0 500:2.0</t>
  </si>
  <si>
    <t>132</t>
  </si>
  <si>
    <t>serine</t>
  </si>
  <si>
    <t>394650</t>
  </si>
  <si>
    <t>204</t>
  </si>
  <si>
    <t>85:4149.0 86:13315.0 87:6992.0 88:15150.0 89:10502.0 90:1587.0 91:745.0 92:179.0 93:337.0 94:83.0 95:182.0 96:273.0 97:332.0 98:3409.0 99:2717.0 100:178441.0 101:28554.0 102:14111.0 103:31730.0 104:3916.0 105:4100.0 106:636.0 107:226.0 108:66.0 109:73.0 110:176.0 111:111.0 112:475.0 113:2552.0 114:21912.0 115:17939.0 116:55490.0 117:27207.0 118:6867.0 119:7638.0 120:1362.0 121:845.0 122:101.0 123:44.0 124:53.0 125:27.0 126:496.0 127:756.0 128:2054.0 129:2385.0 130:14442.0 131:20654.0 132:26633.0 133:48116.0 134:8797.0 135:5655.0 136:603.0 137:288.0 138:89.0 139:50.0 140:139.0 141:132.0 142:1764.0 143:1668.0 144:6816.0 145:1544.0 146:4960.0 147:129636.0 148:20260.0 149:13287.0 150:1864.0 151:582.0 152:126.0 153:78.0 154:77.0 155:112.0 156:364.0 157:446.0 158:4451.0 159:4477.0 160:2859.0 161:885.0 162:1201.0 163:6168.0 164:1067.0 165:511.0 166:144.0 167:60.0 168:52.0 169:110.0 170:180.0 171:150.0 172:5671.0 173:1459.0 174:10181.0 175:2972.0 176:1325.0 177:637.0 178:162.0 179:78.0 180:55.0 181:24.0 182:24.0 184:3.0 185:17.0 186:120.0 187:259.0 188:50229.0 189:18236.0 190:8481.0 191:3183.0 192:678.0 193:193.0 194:85.0 195:136.0 196:151.0 197:182.0 198:188.0 199:200.0 200:491.0 201:138.0 202:972.0 203:6429.0 204:240126.0 205:49214.0 206:21591.0 207:3055.0 208:577.0 209:111.0 210:50.0 211:19.0 215:15.0 216:10635.0 217:2920.0 218:153603.0 219:30449.0 220:13515.0 221:4134.0 222:883.0 223:286.0 224:94.0 225:14.0 226:17.0 230:111.0 231:420.0 232:242.0 233:349.0 234:226.0 235:96.0 236:40.0 237:18.0 240:43.0 243:6.0 244:36.0 245:181.0 246:126.0 247:23.0 248:71.0 249:20.0 259:8.0 260:157.0 261:39.0 262:527.0 263:117.0 264:27.0 269:4.0 270:18.0 275:4.0 276:110.0 277:82.0 278:14465.0 279:4349.0 280:2035.0 281:376.0 282:58.0 283:12.0 290:35.0 291:75.0 292:41.0 299:87.0 300:6.0 304:29.0 305:58.0 306:5645.0 307:1598.0 308:688.0 309:108.0 310:38.0 359:1.0 367:6.0 384:17.0 394:7.0 402:15.0 423:1.0 432:4.0 438:1.0 446:6.0 472:3.0</t>
  </si>
  <si>
    <t>116</t>
  </si>
  <si>
    <t>salicylaldehyde</t>
  </si>
  <si>
    <t>406706</t>
  </si>
  <si>
    <t>193</t>
  </si>
  <si>
    <t>85:808.0 86:1555.0 87:598.0 88:812.0 89:20107.0 90:13640.0 91:90174.0 92:7391.0 93:1350.0 94:468.0 95:216.0 96:3655.0 97:1190.0 99:2470.0 100:1258.0 102:620.0 104:224.0 105:1113.0 106:221.0 107:249.0 108:739.0 109:726.0 110:292.0 111:869.0 112:176.0 113:817.0 114:252.0 115:402.0 117:461.0 118:3382.0 119:105206.0 120:9043.0 121:2359.0 122:351.0 123:277.0 124:564.0 125:1.0 127:167.0 128:50.0 130:537.0 131:816.0 132:238.0 133:1150.0 135:342.0 136:372.0 137:114.0 138:47.0 139:19.0 140:140.0 143:18.0 147:732.0 148:2739.0 149:75156.0 150:11672.0 151:3186.0 152:507.0 153:173.0 155:2183.0 156:884.0 158:53.0 159:40.0 160:14.0 162:84.0 163:147.0 164:143.0 165:42.0 166:106.0 167:46.0 168:72.0 169:601.0 172:261.0 173:107.0 175:192.0 176:64.0 177:277.0 178:22.0 179:82.0 181:260.0 184:1044.0 185:70.0 186:691.0 187:41.0 188:45.0 191:28.0 192:674.0 193:69584.0 194:12101.0 195:3357.0 196:665.0 197:26.0 202:49.0 204:82.0 207:1195.0 208:7538.0 209:1441.0 210:873.0 211:396.0 212:99.0 213:57.0 214:500.0 215:50.0 216:39.0 219:39.0 223:29.0 224:50.0 225:37.0 227:764.0 228:120.0 229:26.0 230:16.0 232:219.0 233:9.0 236:13.0 237:22.0 238:225.0 239:57.0 240:12.0 241:16.0 243:126.0 244:61.0 246:5.0 251:27.0 252:6.0 253:249.0 254:37.0 255:11.0 256:1.0 268:13.0 271:10.0 272:30.0 275:12.0 277:7.0 281:31.0 282:34.0 283:32.0 285:13.0 288:16.0 289:12.0 293:24.0 295:2.0 301:5.0 304:1.0 306:1.0 319:2.0 322:7.0 323:23.0 325:9.0 328:17.0 329:23.0 339:1.0 349:1.0 356:7.0 373:2.0 390:11.0 415:55.0 417:1.0 437:1.0 443:18.0 456:3.0 469:1.0 487:1.0 495:3.0 499:3.0</t>
  </si>
  <si>
    <t>333</t>
  </si>
  <si>
    <t>ribulose-5-phosphate</t>
  </si>
  <si>
    <t>735613</t>
  </si>
  <si>
    <t>357</t>
  </si>
  <si>
    <t>85:54.0 86:53.0 87:29.0 88:15.0 89:657.0 90:45.0 91:45.0 92:20.0 93:28.0 94:1.0 95:10.0 96:5.0 98:9.0 99:8.0 100:47.0 101:488.0 102:58.0 103:654.0 104:16.0 105:66.0 106:3.0 107:5.0 109:9.0 110:8.0 111:2.0 112:23.0 113:57.0 114:154.0 115:23.0 116:143.0 117:65.0 118:10.0 119:32.0 120:6.0 121:4.0 126:53.0 128:85.0 129:316.0 130:51.0 131:130.0 132:10.0 133:464.0 134:4.0 135:41.0 136:13.0 140:5.0 142:41.0 143:21.0 144:1.0 146:4.0 147:786.0 148:82.0 149:109.0 150:1.0 151:12.0 152:5.0 153:1.0 154:5.0 156:13.0 157:3.0 161:3.0 163:11.0 164:12.0 167:1.0 168:50.0 169:1.0 170:5.0 171:6.0 172:19.0 173:7.0 174:32.0 176:4.0 177:4.0 179:5.0 180:1.0 181:8.0 186:6.0 188:1.0 191:42.0 192:1.0 193:10.0 195:29.0 197:1.0 198:6.0 200:27.0 201:30.0 202:4.0 203:1.0 204:16.0 207:31.0 209:4.0 211:166.0 212:16.0 213:8.0 214:12.0 215:7.0 216:2.0 217:86.0 218:20.0 219:6.0 223:3.0 224:8.0 225:51.0 226:7.0 227:23.0 228:39.0 230:8.0 231:2.0 236:3.0 240:1.0 241:5.0 242:13.0 243:5.0 244:17.0 245:6.0 247:2.0 248:3.0 249:3.0 253:9.0 255:1.0 256:18.0 257:7.0 258:1.0 259:5.0 260:3.0 262:13.0 263:1.0 264:1.0 265:2.0 267:1.0 274:2.0 279:1.0 280:5.0 283:2.0 285:3.0 286:1.0 287:1.0 288:3.0 289:4.0 290:1.0 296:2.0 298:9.0 299:301.0 300:74.0 301:27.0 303:2.0 313:2.0 315:71.0 316:13.0 317:8.0 327:4.0 328:1.0 330:4.0 331:1.0 332:9.0 334:1.0 336:1.0 337:3.0 338:4.0 339:4.0 340:1.0 341:48.0 342:4.0 344:3.0 346:2.0 347:12.0 348:8.0 349:2.0 350:3.0 355:2.0 356:48.0 357:1038.0 358:300.0 359:142.0 360:24.0 362:8.0 363:2.0 364:1.0 365:2.0 366:3.0 367:1.0 368:1.0 371:4.0 374:2.0 378:22.0 379:4.0 380:4.0 385:1.0 387:26.0 389:1.0 390:2.0 397:1.0 400:5.0 401:1.0 407:1.0 408:1.0 411:2.0 412:3.0 413:2.0 427:3.0 429:7.0 430:1.0 432:1.0 435:3.0 436:3.0 440:2.0 445:1.0 446:4.0 448:1.0 452:1.0 459:3.0 461:9.0 462:1.0 464:1.0 465:1.0 466:1.0 467:1.0 472:1.0 474:4.0 475:5.0 484:3.0 486:1.0 487:1.0 498:3.0</t>
  </si>
  <si>
    <t>ribose-5-phosphate</t>
  </si>
  <si>
    <t>731702</t>
  </si>
  <si>
    <t>85:339.0 86:258.0 87:203.0 88:96.0 89:2170.0 90:163.0 91:943.0 92:465.0 94:133.0 95:92.0 96:2.0 97:28.0 98:224.0 99:233.0 100:423.0 101:2161.0 102:451.0 103:131.0 104:31.0 105:676.0 106:32.0 107:41.0 108:8.0 111:31.0 112:141.0 113:326.0 114:298.0 115:638.0 116:623.0 117:777.0 118:112.0 119:184.0 120:2.0 121:95.0 122:13.0 123:13.0 124:4.0 125:9.0 126:615.0 127:247.0 128:159.0 129:2685.0 130:1205.0 131:564.0 132:221.0 133:1710.0 134:330.0 135:424.0 136:45.0 137:117.0 138:26.0 139:16.0 140:96.0 141:22.0 142:228.0 144:59.0 145:120.0 146:15.0 147:4165.0 148:679.0 149:859.0 150:120.0 151:240.0 152:45.0 153:28.0 154:8.0 155:2.0 156:171.0 157:176.0 158:1786.0 159:318.0 160:1143.0 161:330.0 162:86.0 163:307.0 164:34.0 165:68.0 166:11.0 167:72.0 168:237.0 169:93.0 170:37.0 171:12.0 172:45.0 173:259.0 174:170.0 175:10.0 176:3.0 177:3.0 178:19.0 179:35.0 180:8.0 181:182.0 182:44.0 183:81.0 184:131.0 185:48.0 186:21.0 189:229.0 193:208.0 194:40.0 195:228.0 196:36.0 197:45.0 198:164.0 199:36.0 200:147.0 201:25.0 202:35.0 203:46.0 205:154.0 206:6.0 207:388.0 208:69.0 209:64.0 210:17.0 211:1230.0 212:147.0 213:112.0 214:53.0 215:97.0 216:121.0 217:2932.0 218:985.0 219:359.0 220:66.0 223:8.0 224:7.0 225:373.0 226:86.0 227:236.0 228:56.0 229:37.0 230:68.0 231:82.0 232:24.0 233:8.0 234:4.0 235:11.0 236:2.0 237:7.0 238:1.0 239:25.0 240:35.0 241:52.0 242:47.0 243:55.0 244:57.0 245:15.0 246:18.0 248:7.0 249:11.0 250:6.0 251:9.0 252:10.0 253:59.0 255:42.0 256:130.0 257:62.0 258:26.0 259:9.0 260:4.0 261:3.0 262:6.0 263:11.0 264:7.0 266:5.0 267:14.0 268:16.0 269:43.0 270:3.0 271:6.0 272:198.0 273:34.0 274:49.0 275:10.0 276:3.0 279:5.0 280:2.0 282:2.0 283:113.0 284:25.0 285:113.0 286:21.0 287:25.0 288:20.0 289:8.0 290:3.0 294:6.0 296:2.0 297:2.0 298:88.0 299:3497.0 300:935.0 301:466.0 302:80.0 303:22.0 308:33.0 309:19.0 310:12.0 311:1.0 313:35.0 314:251.0 315:4157.0 316:1146.0 317:538.0 319:4.0 320:29.0 321:22.0 322:5.0 323:5.0 326:1.0 327:5.0 328:50.0 329:11.0 330:26.0 331:24.0 332:9.0 333:7.0 334:2.0 335:1.0 336:4.0 338:3.0 339:1.0 341:88.0 342:36.0 343:28.0 344:13.0 345:17.0 346:8.0 347:9.0 353:7.0 354:14.0 356:7.0 357:397.0 358:105.0 359:54.0 360:6.0 361:4.0 362:47.0 363:17.0 364:2.0 365:11.0 367:10.0 368:19.0 369:94.0 370:12.0 371:8.0 373:76.0 374:24.0 375:4.0 376:6.0 378:4.0 379:14.0 380:13.0 381:1.0 382:11.0 383:19.0 385:8.0 386:4.0 387:114.0 388:29.0 389:33.0 390:13.0 391:3.0 392:3.0 393:30.0 394:20.0 395:17.0 396:13.0 397:2.0 398:1.0 401:1.0 402:26.0 403:228.0 404:95.0 405:45.0 406:2.0 407:6.0 408:6.0 409:4.0 411:2.0 412:3.0 416:1.0 417:9.0 418:9.0 419:21.0 420:10.0 421:15.0 422:6.0 423:5.0 425:2.0 430:15.0 431:17.0 432:43.0 433:14.0 434:29.0 435:26.0 436:14.0 437:5.0 438:2.0 447:3.0 448:1.0 451:7.0 454:8.0 455:9.0 457:9.0 458:35.0 459:167.0 460:84.0 461:32.0 462:1.0 469:1.0 470:8.0 475:1.0 477:1.0 483:4.0 485:4.0 486:1.0 488:3.0 490:5.0 491:1.0 493:1.0 495:5.0 496:2.0 498:4.0 500:1.0</t>
  </si>
  <si>
    <t>ribose</t>
  </si>
  <si>
    <t>553606</t>
  </si>
  <si>
    <t>85:279.0 86:330.0 87:436.0 88:215.0 89:3091.0 90:348.0 91:46.0 93:7.0 94:28.0 95:7.0 96:14.0 97:34.0 98:83.0 99:241.0 100:887.0 101:1056.0 102:396.0 103:21334.0 104:2049.0 105:1677.0 106:121.0 107:30.0 108:1.0 109:5.0 110:11.0 111:58.0 112:133.0 113:218.0 114:420.0 115:352.0 116:289.0 117:2403.0 118:313.0 119:280.0 120:42.0 121:25.0 122:17.0 123:7.0 125:38.0 126:120.0 127:168.0 128:132.0 129:1920.0 130:565.0 131:1130.0 132:168.0 133:2592.0 134:413.0 135:235.0 136:18.0 137:3.0 138:6.0 140:71.0 141:82.0 142:184.0 143:310.0 144:89.0 145:300.0 146:53.0 147:7280.0 148:1132.0 149:762.0 150:83.0 151:47.0 152:30.0 153:15.0 154:20.0 155:20.0 156:33.0 157:109.0 158:244.0 159:99.0 160:1416.0 161:305.0 162:102.0 163:295.0 164:72.0 165:31.0 166:20.0 167:6.0 168:144.0 169:48.0 170:58.0 171:3.0 172:127.0 173:168.0 174:230.0 175:208.0 176:50.0 177:83.0 178:13.0 179:3.0 180:10.0 181:10.0 182:12.0 183:17.0 184:51.0 185:13.0 186:42.0 187:26.0 188:25.0 189:2138.0 190:408.0 191:494.0 192:125.0 193:21.0 194:11.0 195:11.0 196:6.0 198:83.0 199:5.0 200:84.0 201:163.0 202:53.0 203:124.0 204:557.0 205:607.0 206:201.0 207:105.0 208:24.0 209:25.0 210:6.0 212:3.0 213:9.0 214:26.0 215:46.0 216:198.0 217:6148.0 218:1202.0 219:501.0 220:87.0 221:159.0 222:48.0 223:6.0 224:12.0 226:18.0 227:1.0 228:31.0 229:21.0 230:50.0 231:133.0 232:107.0 233:327.0 234:149.0 235:52.0 236:13.0 237:1.0 240:7.0 241:14.0 242:68.0 243:17.0 244:26.0 245:13.0 246:60.0 247:13.0 248:40.0 249:20.0 250:15.0 251:11.0 252:3.0 254:15.0 255:7.0 256:57.0 257:69.0 258:13.0 259:21.0 260:10.0 261:13.0 262:140.0 263:21.0 264:3.0 265:31.0 266:10.0 270:3.0 271:1.0 272:29.0 273:13.0 274:82.0 275:25.0 276:9.0 277:413.0 278:176.0 279:88.0 280:10.0 281:11.0 282:7.0 283:6.0 284:18.0 285:1.0 286:9.0 287:1.0 288:37.0 289:20.0 290:17.0 291:82.0 292:28.0 293:9.0 296:5.0 297:5.0 298:7.0 299:7.0 300:6.0 304:6.0 305:46.0 306:66.0 307:1528.0 308:423.0 309:245.0 310:28.0 311:6.0 312:3.0 313:11.0 315:9.0 316:13.0 317:1.0 318:6.0 322:3.0 323:3.0 324:3.0 325:7.0 326:3.0 327:1.0 328:11.0 329:5.0 330:20.0 331:19.0 332:9.0 333:20.0 335:1.0 336:1.0 338:3.0 340:7.0 341:3.0 342:10.0 343:3.0 345:3.0 351:3.0 354:11.0 355:7.0 357:5.0 358:3.0 359:3.0 360:6.0 361:12.0 362:36.0 364:7.0 365:5.0 369:3.0 370:3.0 371:3.0 372:7.0 373:6.0 379:12.0 380:7.0 381:10.0 382:3.0 383:7.0 384:3.0 386:14.0 389:3.0 392:20.0 393:7.0 394:6.0 395:5.0 396:7.0 398:5.0 399:5.0 402:3.0 403:3.0 405:7.0 406:3.0 408:3.0 409:6.0 411:5.0 412:1.0 416:3.0 417:19.0 419:7.0 420:20.0 423:14.0 425:11.0 427:10.0 431:10.0 432:5.0 433:7.0 434:1.0 435:7.0 436:3.0 437:6.0 438:3.0 439:3.0 440:3.0 442:3.0 443:5.0 444:6.0 445:3.0 446:3.0 448:6.0 449:3.0 450:15.0 451:7.0 453:6.0 454:7.0 456:7.0 458:7.0 460:3.0 465:3.0 466:5.0 467:6.0 468:3.0 469:1.0 470:7.0 471:7.0 472:6.0 476:10.0 478:5.0 479:3.0 480:10.0 482:7.0 483:1.0 484:14.0 486:7.0 487:7.0 491:5.0 494:6.0 497:3.0 498:3.0 499:1.0 500:9.0</t>
  </si>
  <si>
    <t>ribitol</t>
  </si>
  <si>
    <t>575953</t>
  </si>
  <si>
    <t>319</t>
  </si>
  <si>
    <t>85:335.0 86:850.0 87:356.0 88:770.0 89:3116.0 90:99.0 91:184.0 92:204.0 94:67.0 95:98.0 96:28.0 97:155.0 98:257.0 99:227.0 101:2028.0 102:60.0 103:36383.0 104:3434.0 105:799.0 108:71.0 109:14.0 110:83.0 111:386.0 113:1168.0 114:1114.0 115:485.0 116:1192.0 117:4854.0 118:282.0 119:690.0 122:6.0 123:7.0 125:11.0 126:20.0 127:45.0 128:2.0 129:19667.0 130:2379.0 131:3059.0 132:529.0 133:7205.0 134:1107.0 135:114.0 137:28.0 139:116.0 141:196.0 142:228.0 143:898.0 144:110.0 145:169.0 146:10.0 147:37198.0 148:5603.0 149:3653.0 150:342.0 152:36.0 153:149.0 154:80.0 155:364.0 157:5247.0 158:508.0 159:471.0 161:46.0 163:50.0 166:30.0 168:5.0 169:24.0 170:208.0 171:348.0 172:229.0 174:23.0 175:495.0 176:46.0 177:323.0 179:16.0 180:1.0 185:75.0 186:162.0 187:6.0 188:58.0 189:7421.0 190:1429.0 191:2566.0 192:284.0 193:380.0 194:105.0 195:261.0 198:16.0 199:53.0 200:16.0 201:141.0 203:1823.0 204:5103.0 205:13221.0 206:2769.0 207:1137.0 208:78.0 209:160.0 210:46.0 211:223.0 213:81.0 215:209.0 216:35.0 217:30108.0 218:7222.0 219:2567.0 220:351.0 221:705.0 222:165.0 223:21.0 226:10.0 227:6.0 229:756.0 230:172.0 233:51.0 237:30.0 238:16.0 241:1.0 242:123.0 243:1649.0 244:192.0 245:112.0 253:1.0 254:8.0 256:110.0 258:1.0 264:25.0 270:5.0 277:2.0 278:74.0 279:140.0 280:38.0 284:4.0 291:354.0 292:69.0 293:35.0 294:2.0 296:1.0 302:4.0 303:230.0 304:37.0 305:144.0 306:262.0 307:3662.0 308:1018.0 309:468.0 310:30.0 317:504.0 318:182.0 319:5630.0 320:1669.0 321:602.0 322:99.0 323:40.0 328:3.0 329:19.0 330:5.0 331:33.0 332:1186.0 333:396.0 334:126.0 336:12.0 337:18.0 342:21.0 343:12.0 344:4.0 345:11.0 349:34.0 357:7.0 360:1.0 380:1.0 395:83.0 402:2.0 407:71.0 408:19.0 409:27.0 421:16.0 422:97.0 423:65.0 424:25.0 425:26.0 443:2.0 498:10.0</t>
  </si>
  <si>
    <t>327474</t>
  </si>
  <si>
    <t>110</t>
  </si>
  <si>
    <t>86:12.0 87:878.0 88:186.0 89:53.0 90:6.0 91:46.0 92:20.0 93:1.0 95:10.0 96:3.0 97:49.0 98:11.0 100:44.0 101:58.0 103:24.0 104:6.0 105:40.0 106:17.0 107:54.0 108:10.0 109:23.0 110:2023.0 111:45.0 115:42.0 118:16.0 119:35.0 120:1.0 121:23.0 123:16.0 124:2.0 125:2.0 126:4.0 127:4.0 129:61.0 131:10.0 133:166.0 134:46.0 135:123.0 136:4.0 137:106.0 138:3.0 141:36.0 143:34.0 147:255.0 148:36.0 150:5.0 151:4.0 152:1.0 159:6.0 160:3.0 162:7.0 168:1.0 173:4.0 178:3.0 179:7.0 181:6.0 182:1.0 183:1.0 184:7.0 186:4.0 189:56.0 190:5.0 192:5.0 193:1.0 194:4.0 195:8.0 199:1.0 202:2.0 203:2.0 208:2.0 211:85.0 212:4.0 213:8.0 216:1.0 217:2.0 221:2.0 225:37.0 226:3.0 227:61.0 228:5.0 229:2.0 230:2.0 231:4.0 237:1.0 238:1.0 239:1.0 241:107.0 242:12.0 243:4.0 244:4.0 248:2.0 251:2.0 254:3.0 255:2.0 256:5.0 257:1.0 265:1.0 266:1.0 267:2.0 269:5.0 274:1.0 277:3.0 278:6.0 279:4.0 287:1.0 288:1.0 293:1.0 301:1.0 304:1.0 310:2.0 312:2.0 316:2.0 317:3.0 319:1.0 320:1.0 322:1.0 323:4.0 325:3.0 328:1.0 331:2.0 335:2.0 336:126.0 337:18.0 338:8.0 341:2.0 342:1.0 344:3.0 346:1.0 347:2.0 350:2.0 351:3.0 355:2.0 360:4.0 366:1.0 368:3.0 370:1.0 371:1.0 372:2.0 378:3.0 379:1.0 382:1.0 385:1.0 387:1.0 388:2.0 390:1.0 395:2.0 397:1.0 398:2.0 402:2.0 403:1.0 407:1.0 409:4.0 411:2.0 415:3.0 417:1.0 418:3.0 420:1.0 421:2.0 425:1.0 426:2.0 428:4.0 429:1.0 430:5.0 434:4.0 435:1.0 442:3.0 447:4.0 449:2.0 450:1.0 455:4.0 456:1.0 457:1.0 465:1.0 474:2.0 477:3.0 486:3.0 493:2.0 498:1.0 499:5.0 500:2.0</t>
  </si>
  <si>
    <t>pyrazine 2,5-dihydroxy  NIST</t>
  </si>
  <si>
    <t>396061</t>
  </si>
  <si>
    <t>241</t>
  </si>
  <si>
    <t>85:1007.0 86:1103.0 87:107.0 88:47.0 89:23.0 90:12.0 91:198.0 92:179.0 93:110.0 95:19.0 96:54.0 97:524.0 98:714.0 99:495.0 100:918.0 101:208.0 102:6.0 103:528.0 104:8.0 105:43.0 106:5.0 107:79.0 108:58.0 109:49.0 110:114.0 111:358.0 112:140.0 113:1794.0 114:526.0 115:273.0 116:85.0 117:19.0 120:2.0 123:5.0 124:33.0 125:89.0 126:127.0 127:155.0 128:339.0 129:162.0 130:138.0 131:48.0 132:112.0 133:698.0 134:134.0 135:56.0 137:10.0 138:10.0 139:38.0 140:164.0 141:102.0 142:172.0 143:22.0 144:55.0 145:93.0 147:1078.0 148:128.0 149:204.0 150:20.0 151:14.0 152:39.0 153:33.0 154:58.0 155:71.0 156:177.0 157:157.0 158:279.0 159:62.0 166:108.0 167:798.0 168:152.0 169:327.0 170:75.0 171:13.0 172:205.0 173:482.0 174:196.0 175:49.0 180:1.0 181:147.0 182:755.0 183:229.0 184:157.0 185:102.0 186:68.0 187:19.0 192:7.0 196:21.0 198:8.0 199:130.0 200:43.0 201:9.0 210:2.0 211:87.0 212:18.0 213:168.0 214:41.0 218:4.0 221:192.0 222:25.0 223:16.0 225:62.0 226:91.0 227:65.0 228:123.0 229:41.0 230:9.0 234:1.0 235:5.0 236:8.0 237:2.0 238:1.0 239:56.0 240:41.0 241:7959.0 242:1641.0 243:664.0 244:108.0 245:22.0 246:2.0 247:21.0 248:6.0 249:13.0 250:4.0 251:6.0 253:1.0 255:589.0 256:1584.0 257:328.0 258:130.0 259:18.0 265:6.0 267:113.0 268:19.0 270:1.0 271:1.0 273:6.0 275:9.0 281:93.0 282:10.0 283:7.0 284:3.0 285:1.0 290:2.0 291:1.0 297:1.0 299:169.0 300:24.0 301:8.0 302:9.0 303:8.0 304:3.0 313:5.0 314:15.0 317:2.0 319:4.0 320:4.0 321:5.0 323:4.0 324:1.0 325:4.0 326:2.0 333:1.0 339:7.0 342:4.0 343:7.0 347:3.0 350:2.0 351:8.0 355:42.0 356:10.0 357:4.0 362:3.0 363:1.0 364:2.0 366:13.0 368:4.0 369:1.0 371:1.0 372:1.0 373:32.0 374:13.0 376:6.0 377:3.0 378:2.0 381:5.0 382:2.0 383:2.0 391:2.0 393:1.0 394:3.0 399:3.0 401:1.0 403:3.0 406:1.0 407:1.0 410:1.0 414:1.0 418:4.0 421:2.0 424:1.0 428:1.0 429:2.0 435:4.0 437:7.0 443:17.0 444:11.0 445:4.0 446:2.0 447:1.0 452:1.0 457:6.0 458:1.0 460:5.0 463:1.0 465:4.0 467:2.0 469:1.0 470:4.0 472:9.0 473:1.0 476:5.0 478:2.0 481:5.0 483:1.0 487:2.0 490:10.0 492:1.0 494:1.0 498:5.0</t>
  </si>
  <si>
    <t>putrescine</t>
  </si>
  <si>
    <t>588836</t>
  </si>
  <si>
    <t>85:5560.0 86:109952.0 87:14306.0 88:4171.0 89:10910.0 90:368.0 91:1286.0 92:548.0 93:756.0 94:1980.0 95:5733.0 96:2669.0 97:2268.0 98:7536.0 99:10214.0 101:10338.0 102:5882.0 103:10597.0 104:983.0 105:4019.0 106:344.0 107:1297.0 108:1496.0 109:536.0 110:4707.0 111:3094.0 112:3980.0 113:2939.0 114:8485.0 115:5745.0 116:10397.0 117:12104.0 118:1788.0 119:1807.0 120:298.0 121:1646.0 122:901.0 123:444.0 124:1260.0 125:838.0 126:10189.0 127:2663.0 128:8200.0 129:2946.0 130:21365.0 131:9499.0 132:5187.0 133:11788.0 134:6826.0 135:1426.0 136:729.0 137:563.0 138:348.0 139:15476.0 140:3733.0 141:1358.0 142:26529.0 143:4852.0 144:3540.0 145:140.0 146:13249.0 147:35000.0 148:6125.0 149:4443.0 150:2051.0 151:2656.0 152:2204.0 153:1597.0 154:1212.0 155:1869.0 156:3349.0 157:976.0 158:5431.0 159:1416.0 160:2608.0 161:2056.0 162:275.0 163:698.0 164:292.0 165:730.0 166:427.0 167:1822.0 168:1158.0 169:1984.0 170:3378.0 171:1560.0 172:21811.0 173:3761.0 174:263437.0 176:10023.0 177:472.0 180:187.0 181:482.0 182:3974.0 183:1051.0 184:2076.0 185:854.0 186:2287.0 187:2727.0 188:1571.0 189:975.0 190:422.0 191:1061.0 192:279.0 193:837.0 194:192.0 195:162.0 196:244.0 197:2298.0 198:2060.0 199:4088.0 200:14561.0 201:3372.0 202:1868.0 203:450.0 204:1164.0 205:2371.0 206:435.0 209:5.0 210:447.0 211:576.0 212:1638.0 213:865.0 214:18013.0 215:3088.0 216:867.0 217:2968.0 218:667.0 219:2002.0 220:721.0 223:27.0 224:87.0 225:666.0 226:803.0 227:154.0 228:703.0 229:127.0 230:89.0 231:32045.0 232:5095.0 233:1508.0 234:981.0 236:5.0 237:140.0 238:344.0 239:78.0 240:147.0 241:1248.0 242:509.0 243:769.0 244:84.0 245:130.0 248:9.0 251:5.0 252:131.0 253:125.0 256:61.0 257:361.0 258:547.0 259:70.0 260:4.0 262:486.0 263:86.0 265:285.0 266:10.0 268:112.0 269:293.0 270:89.0 271:87.0 272:301.0 273:517.0 274:28.0 275:105.0 277:44.0 278:129.0 279:247.0 280:128.0 281:2.0 283:61.0 285:96.0 286:132.0 287:45.0 288:45.0 290:34.0 291:20.0 292:113.0 293:50.0 298:75.0 300:37.0 301:98.0 302:105.0 303:8.0 304:49.0 305:40.0 306:21.0 307:333.0 308:165.0 309:40.0 311:31.0 312:143.0 313:77.0 315:977.0 316:283.0 317:100.0 319:101.0 320:14.0 321:13.0 322:94.0 324:5.0 325:4.0 326:1.0 327:96.0 330:2.0 331:214.0 332:61.0 333:321.0 335:65.0 336:10.0 338:24.0 342:11.0 344:4.0 348:60.0 354:1.0 355:25.0 356:2.0 359:55.0 360:192.0 361:2306.0 362:498.0 364:59.0 365:21.0 366:14.0 372:20.0 373:18.0 374:43.0 375:41.0 376:971.0 377:211.0 378:110.0 379:70.0 380:22.0 385:3.0 390:4.0 392:3.0 400:12.0 402:43.0 405:285.0 406:151.0 407:57.0 409:24.0 416:2.0 417:3.0 418:1.0 420:4.0 421:104.0 422:44.0 428:1.0 437:46.0 443:6.0 444:5.0 447:2.0 448:1.0 449:13.0 451:40.0 454:5.0 459:1.0 464:8.0 469:2.0 470:1.0 475:42.0 477:55.0 479:17.0 483:19.0 484:3.0 488:14.0 493:2.0</t>
  </si>
  <si>
    <t>217</t>
  </si>
  <si>
    <t>propane-1,3-diol NIST</t>
  </si>
  <si>
    <t>214259</t>
  </si>
  <si>
    <t>177</t>
  </si>
  <si>
    <t>147:136457.0 115:52492.0 130:38771.0 148:21374.0 133:14111.0 177:14086.0 131:12287.0 117:11965.0 103:11744.0 149:11695.0 101:10287.0 85:6165.0 116:5911.0 87:5534.0 205:3619.0 132:3181.0 99:2896.0 178:2292.0 119:1984.0 105:1584.0 134:1567.0 102:1527.0 118:1410.0 123:1299.0 179:1166.0 104:1094.0 95:1047.0 163:1033.0 207:984.0 86:963.0 150:867.0 93:773.0 113:630.0 125:623.0 88:615.0 89:548.0 206:427.0 192:383.0 189:344.0 191:286.0 90:285.0 193:281.0 120:265.0 94:260.0 100:236.0 151:220.0 164:209.0 129:200.0 96:192.0 249:176.0 135:163.0 121:143.0 128:139.0 185:135.0 165:124.0 175:124.0 124:121.0 195:120.0 145:113.0 341:104.0 176:100.0 281:97.0 236:85.0 92:80.0 144:71.0 97:67.0 114:63.0 208:60.0 162:53.0 167:50.0 111:49.0 160:37.0 187:28.0 126:26.0 200:25.0 166:20.0 194:19.0 140:18.0 155:18.0 416:14.0 256:12.0 158:11.0 217:11.0 310:11.0 233:8.0 188:7.0 228:7.0 279:7.0 152:6.0 218:5.0 327:5.0 198:4.0 415:4.0 443:4.0 283:3.0 141:2.0 224:1.0 245:1.0 269:1.0</t>
  </si>
  <si>
    <t>proline</t>
  </si>
  <si>
    <t>364232</t>
  </si>
  <si>
    <t>142</t>
  </si>
  <si>
    <t>85:2.0 88:15.0 91:98.0 92:102.0 95:3.0 96:5.0 98:3.0 99:10.0 100:74.0 101:25.0 107:26.0 110:19.0 113:5.0 115:2.0 117:33.0 118:16.0 126:28.0 127:10.0 128:9.0 130:1.0 131:13.0 132:12.0 133:2.0 134:56.0 135:2.0 136:9.0 140:21.0 141:4.0 142:3396.0 143:428.0 144:93.0 145:1.0 146:1.0 147:175.0 155:23.0 158:1.0 166:5.0 168:3.0 170:6.0 175:1.0 178:1.0 184:31.0 186:3.0 187:1.0 198:2.0 201:1.0 211:2.0 216:108.0 217:16.0 218:8.0 222:3.0 223:1.0 233:1.0 236:1.0 240:1.0 243:2.0 253:1.0 254:1.0 255:1.0 256:2.0 257:1.0 271:1.0 296:1.0 303:2.0 312:1.0 313:3.0 316:5.0 317:2.0 318:1.0 323:2.0 339:1.0 346:1.0 347:3.0 354:2.0 368:1.0 373:1.0 381:2.0 385:2.0 386:3.0 388:3.0 397:1.0 398:1.0 404:3.0 405:3.0 406:3.0 409:1.0 414:1.0 417:3.0 420:2.0 421:3.0 436:1.0 437:1.0 448:2.0 458:3.0 461:3.0 463:2.0 468:1.0 470:1.0 474:3.0 483:1.0 485:2.0 489:1.0 494:3.0 495:3.0 500:2.0</t>
  </si>
  <si>
    <t>p-hydroquinone</t>
  </si>
  <si>
    <t>422925</t>
  </si>
  <si>
    <t>239</t>
  </si>
  <si>
    <t>86:127.0 88:168.0 91:47.0 92:63.0 93:87.0 95:163.0 97:105.0 98:94.0 102:54.0 103:279.0 105:268.0 106:52.0 107:270.0 108:86.0 109:20.0 110:48.0 111:11.0 112:371.0 117:32.0 118:23.0 119:102.0 120:23.0 121:21.0 122:10.0 123:20.0 125:8.0 126:43.0 130:113.0 131:23.0 133:30.0 134:242.0 135:177.0 136:167.0 137:88.0 138:16.0 141:11.0 146:34.0 148:259.0 149:4.0 151:33.0 153:13.0 157:1.0 160:1.0 161:29.0 163:27.0 166:25.0 167:2.0 169:15.0 170:24.0 173:1.0 175:2.0 176:10.0 177:8.0 178:11.0 179:2.0 185:31.0 186:18.0 188:11.0 189:22.0 199:28.0 203:2.0 207:66.0 210:30.0 211:19.0 219:68.0 221:17.0 222:11.0 223:266.0 224:34.0 225:38.0 226:12.0 228:70.0 229:3.0 237:11.0 238:5.0 239:2105.0 240:402.0 241:176.0 242:15.0 248:3.0 250:4.0 252:2.0 254:1223.0 255:232.0 256:71.0 259:5.0 263:5.0 265:14.0 266:13.0 268:30.0 273:6.0 274:10.0 278:5.0 279:1.0 280:2.0 281:3.0 282:2.0 288:3.0 289:4.0 290:6.0 292:4.0 294:1.0 295:25.0 297:16.0 298:12.0 299:18.0 300:9.0 302:8.0 303:7.0 305:15.0 307:6.0 308:2.0 309:2.0 310:9.0 311:8.0 315:2.0 318:3.0 319:18.0 320:1.0 321:6.0 322:6.0 327:5.0 328:9.0 330:6.0 333:3.0 334:7.0 335:3.0 337:9.0 338:1.0 339:4.0 340:8.0 341:6.0 342:3.0 344:7.0 346:6.0 347:4.0 348:12.0 349:14.0 350:4.0 351:4.0 352:66.0 353:18.0 354:10.0 355:10.0 356:4.0 357:1.0 358:17.0 359:5.0 360:2.0 361:18.0 362:9.0 363:8.0 364:9.0 365:1.0 366:3.0 367:14.0 368:3.0 369:18.0 370:6.0 371:4.0 372:8.0 375:10.0 377:12.0 378:6.0 380:19.0 381:4.0 383:2.0 385:7.0 386:11.0 388:2.0 389:7.0 390:4.0 392:15.0 393:8.0 394:5.0 395:12.0 396:15.0 397:14.0 398:12.0 399:3.0 400:1.0 401:12.0 402:13.0 403:13.0 404:12.0 405:14.0 407:9.0 408:6.0 409:11.0 410:13.0 411:27.0 412:16.0 413:6.0 418:5.0 419:12.0 420:1.0 421:14.0 422:11.0 423:4.0 424:8.0 425:3.0 427:17.0 428:28.0 429:5.0 430:2.0 431:9.0 432:8.0 433:5.0 434:10.0 435:6.0 436:4.0 437:3.0 438:10.0 439:12.0 440:7.0 442:9.0 443:8.0 444:8.0 445:1.0 446:3.0 447:20.0 448:7.0 449:3.0 450:16.0 451:17.0 452:7.0 453:8.0 454:4.0 455:18.0 456:5.0 457:8.0 458:5.0 459:7.0 460:13.0 461:7.0 462:8.0 463:7.0 464:3.0 465:14.0 466:5.0 467:6.0 468:4.0 469:7.0 470:10.0 471:4.0 472:3.0 473:4.0 474:10.0 475:5.0 476:15.0 477:3.0 478:16.0 479:4.0 480:11.0 481:8.0 483:1.0 484:1.0 486:2.0 487:16.0 488:4.0 489:11.0 490:2.0 491:10.0 493:31.0 494:33.0 495:10.0 496:6.0 497:5.0 498:5.0 499:6.0</t>
  </si>
  <si>
    <t>phosphoric acid</t>
  </si>
  <si>
    <t>344674</t>
  </si>
  <si>
    <t>314</t>
  </si>
  <si>
    <t>85:1141.0 86:213.0 87:1561.0 88:399.0 89:1740.0 90:310.0 91:1827.0 92:509.0 93:635.0 94:79.0 95:146.0 96:332.0 97:66.0 98:187.0 99:189.0 100:388.0 102:553.0 103:4819.0 104:1286.0 105:4011.0 106:778.0 107:2556.0 108:270.0 109:902.0 110:31.0 111:43.0 112:70.0 113:263.0 115:8044.0 116:882.0 117:612.0 118:452.0 119:4861.0 120:847.0 121:3955.0 122:438.0 123:1800.0 124:86.0 125:94.0 126:195.0 127:219.0 130:66.0 131:4073.0 132:776.0 133:28029.0 134:3913.0 135:10266.0 136:1203.0 137:5878.0 138:630.0 139:489.0 140:53.0 141:13.0 142:5.0 143:119.0 144:11.0 145:436.0 146:93.0 147:4717.0 148:207.0 149:632.0 150:291.0 151:4698.0 152:469.0 153:701.0 154:57.0 155:44.0 156:60.0 157:14.0 158:39.0 159:78.0 160:24.0 161:237.0 162:64.0 163:1004.0 164:171.0 165:2484.0 166:446.0 167:2163.0 168:218.0 169:194.0 170:40.0 171:35.0 172:23.0 173:39.0 176:219.0 177:1060.0 178:408.0 179:1414.0 180:413.0 181:5946.0 182:796.0 183:2157.0 184:385.0 185:228.0 186:49.0 187:35.0 188:39.0 189:2071.0 190:409.0 191:7656.0 192:1761.0 193:9318.0 194:1892.0 195:2379.0 196:409.0 197:563.0 198:128.0 199:80.0 200:43.0 201:40.0 202:54.0 206:21.0 207:7994.0 208:1671.0 209:1518.0 210:456.0 211:18208.0 212:2788.0 213:1446.0 214:154.0 215:72.0 216:8.0 221:913.0 222:200.0 223:185.0 224:66.0 225:4951.0 226:908.0 227:1500.0 228:207.0 229:90.0 230:8.0 231:12.0 235:7.0 236:3.0 237:44.0 238:34.0 239:111.0 240:32.0 241:38.0 244:13.0 245:9.0 246:2.0 247:3.0 252:54.0 253:328.0 254:108.0 255:302.0 256:114.0 257:40.0 259:49.0 260:5.0 263:27.0 264:5.0 265:13.0 267:415.0 268:158.0 269:698.0 270:181.0 271:61.0 272:33.0 273:21.0 275:25.0 276:17.0 277:24.0 279:4.0 282:60.0 283:5425.0 284:1591.0 285:835.0 286:153.0 287:21.0 290:3.0 291:8.0 292:22.0 294:12.0 295:9.0 297:72.0 298:1724.0 299:72229.0 300:19347.0 301:10008.0 302:1844.0 303:486.0 304:109.0 305:97.0 306:71.0 307:99.0 308:104.0 309:80.0 310:126.0 311:32.0 313:374.0 314:10769.0 315:3110.0 316:1496.0 317:251.0 318:113.0 319:11.0 320:25.0 321:7.0 323:20.0 328:1.0 331:7.0 335:3.0 337:15.0 340:9.0 349:8.0 363:5.0 370:9.0 373:2.0 374:10.0 391:19.0 403:7.0 404:2.0 407:11.0 408:1.0 418:4.0 440:25.0 455:4.0 479:1.0 484:3.0 488:2.0</t>
  </si>
  <si>
    <t>phosphogluconic acid</t>
  </si>
  <si>
    <t>847355</t>
  </si>
  <si>
    <t>299</t>
  </si>
  <si>
    <t>93:256.0 100:145.0 101:1313.0 102:17.0 103:758.0 104:121.0 105:70.0 106:111.0 111:31.0 114:14.0 116:304.0 129:1642.0 131:502.0 133:994.0 136:29.0 137:46.0 142:54.0 143:406.0 145:150.0 146:106.0 147:1002.0 148:674.0 149:204.0 151:112.0 153:114.0 157:613.0 158:13.0 159:228.0 160:3.0 163:32.0 167:19.0 169:334.0 171:125.0 172:20.0 173:83.0 174:121.0 177:3.0 180:37.0 181:21.0 183:42.0 185:3.0 186:21.0 188:43.0 189:387.0 190:65.0 191:223.0 193:68.0 195:51.0 197:23.0 200:8.0 203:33.0 204:390.0 205:20.0 207:264.0 209:159.0 210:155.0 211:507.0 212:81.0 213:46.0 215:36.0 217:1154.0 218:238.0 219:434.0 220:335.0 221:85.0 225:150.0 227:168.0 229:6.0 230:204.0 231:99.0 232:65.0 234:33.0 238:20.0 241:35.0 243:131.0 244:141.0 245:150.0 247:318.0 248:20.0 249:35.0 250:4.0 253:30.0 254:9.0 255:4.0 256:246.0 257:172.0 259:232.0 260:27.0 261:18.0 262:23.0 271:92.0 272:29.0 273:25.0 274:33.0 277:74.0 278:20.0 279:98.0 280:9.0 281:101.0 282:31.0 283:201.0 285:72.0 286:9.0 287:28.0 288:62.0 289:14.0 291:24.0 292:67.0 293:121.0 295:11.0 296:19.0 298:40.0 299:2800.0 300:512.0 301:294.0 303:33.0 305:237.0 306:107.0 307:49.0 310:17.0 313:70.0 314:147.0 315:1064.0 316:268.0 317:171.0 318:37.0 319:49.0 320:70.0 321:47.0 323:24.0 326:18.0 327:11.0 328:49.0 329:3.0 331:156.0 332:84.0 333:547.0 334:149.0 335:21.0 336:21.0 342:93.0 346:5.0 347:10.0 349:16.0 352:16.0 353:23.0 354:4.0 355:97.0 356:70.0 357:692.0 358:229.0 359:197.0 360:25.0 361:71.0 362:37.0 363:11.0 365:8.0 369:44.0 370:120.0 371:23.0 373:1.0 374:53.0 379:7.0 386:83.0 387:1562.0 388:590.0 389:298.0 390:68.0 391:38.0 392:3.0 396:4.0 401:30.0 404:13.0 405:37.0 424:11.0 426:31.0 427:22.0 430:1.0 432:1.0 433:44.0 436:30.0 439:1.0 440:5.0 441:11.0 442:14.0 446:11.0 447:17.0 449:7.0 451:33.0 461:11.0 466:8.0 468:29.0 470:23.0 471:91.0 472:49.0 486:15.0 489:11.0 490:3.0 492:10.0 495:10.0</t>
  </si>
  <si>
    <t>phosphoethanolamine</t>
  </si>
  <si>
    <t>604454</t>
  </si>
  <si>
    <t>100</t>
  </si>
  <si>
    <t>85:49.0 86:906.0 87:125.0 88:9.0 89:44.0 90:10.0 91:10.0 92:46.0 93:8.0 96:1.0 97:1.0 98:2.0 99:6.0 100:2798.0 101:243.0 102:104.0 103:48.0 104:16.0 105:4.0 106:6.0 107:56.0 108:2.0 110:18.0 112:3.0 113:28.0 114:1229.0 115:718.0 116:154.0 117:103.0 118:25.0 119:43.0 121:28.0 122:1.0 123:2.0 126:3.0 127:3.0 128:3.0 130:400.0 131:184.0 132:25.0 133:603.0 134:41.0 135:195.0 136:12.0 137:59.0 140:1.0 141:5.0 144:3.0 145:9.0 146:17.0 147:518.0 148:83.0 149:9.0 151:30.0 156:14.0 158:3.0 159:3.0 165:12.0 167:2.0 168:2.0 169:4.0 170:3.0 172:1537.0 173:234.0 174:1603.0 175:234.0 176:122.0 177:10.0 178:7.0 179:11.0 181:62.0 182:2.0 183:4.0 184:1.0 186:6.0 187:111.0 188:949.0 189:218.0 190:66.0 191:104.0 192:12.0 193:139.0 194:24.0 195:82.0 196:7.0 197:3.0 198:2.0 202:2.0 205:12.0 207:168.0 208:24.0 209:12.0 210:15.0 211:247.0 212:17.0 213:4.0 216:1.0 221:108.0 222:12.0 223:6.0 225:83.0 226:3.0 227:2.0 228:1.0 230:3.0 235:1.0 236:1.0 238:2.0 241:1.0 243:2.0 244:2.0 247:2.0 252:1.0 253:5.0 255:3.0 256:2.0 261:1.0 262:2.0 265:5.0 267:19.0 268:3.0 269:10.0 271:2.0 274:2.0 276:2.0 281:27.0 282:8.0 283:49.0 284:4.0 285:12.0 290:1.0 295:6.0 298:59.0 299:1068.0 300:266.0 301:120.0 302:10.0 304:1.0 309:3.0 310:18.0 311:1.0 312:5.0 313:8.0 314:46.0 315:216.0 316:55.0 317:8.0 319:3.0 322:1.0 326:36.0 327:23.0 328:216.0 329:34.0 330:10.0 331:2.0 339:3.0 341:62.0 342:9.0 343:3.0 347:2.0 350:3.0 351:1.0 352:2.0 355:56.0 356:11.0 357:4.0 358:5.0 359:2.0 366:2.0 368:2.0 371:2.0 374:2.0 381:2.0 382:1.0 385:11.0 387:7.0 390:1.0 392:3.0 396:2.0 399:3.0 400:6.0 401:12.0 402:1.0 404:4.0 407:1.0 409:2.0 411:2.0 413:1.0 414:73.0 415:31.0 416:6.0 417:9.0 421:1.0 424:1.0 425:1.0 429:77.0 430:45.0 431:21.0 435:2.0 438:2.0 446:2.0 447:4.0 451:1.0 453:2.0 457:4.0 459:2.0 461:6.0 463:1.0 467:2.0 468:1.0 471:2.0 474:2.0 476:2.0 477:1.0 478:3.0 495:6.0</t>
  </si>
  <si>
    <t>phenylalanine</t>
  </si>
  <si>
    <t>537760</t>
  </si>
  <si>
    <t>218</t>
  </si>
  <si>
    <t>85:18.0 86:160.0 87:128.0 88:41.0 89:75.0 90:63.0 91:951.0 92:163.0 93:35.0 94:18.0 95:24.0 96:4.0 97:28.0 98:53.0 99:5.0 100:1453.0 101:190.0 102:178.0 103:177.0 104:46.0 105:73.0 106:33.0 107:48.0 108:25.0 109:20.0 110:21.0 111:11.0 112:26.0 113:20.0 114:25.0 115:3.0 116:13.0 117:115.0 118:74.0 119:62.0 120:89.0 121:78.0 122:32.0 123:13.0 124:19.0 125:22.0 126:11.0 127:7.0 128:26.0 129:31.0 130:243.0 131:156.0 132:177.0 133:154.0 134:133.0 135:58.0 136:26.0 137:15.0 138:23.0 139:16.0 140:16.0 141:16.0 142:13.0 143:16.0 144:6.0 145:36.0 146:76.0 147:838.0 148:187.0 149:101.0 150:30.0 151:25.0 152:21.0 153:7.0 154:16.0 155:21.0 156:35.0 157:20.0 158:17.0 159:33.0 160:88.0 161:33.0 162:47.0 163:56.0 164:27.0 165:24.0 166:21.0 167:15.0 168:21.0 169:7.0 170:31.0 172:16.0 173:19.0 174:48.0 175:27.0 176:52.0 177:77.0 178:41.0 179:21.0 180:21.0 181:11.0 182:23.0 183:28.0 184:36.0 185:28.0 186:29.0 187:7.0 188:36.0 189:17.0 190:46.0 191:26.0 192:1525.0 193:251.0 194:87.0 195:20.0 196:30.0 197:30.0 198:16.0 199:20.0 200:27.0 201:36.0 202:30.0 203:48.0 204:79.0 205:36.0 206:11.0 207:23.0 208:9.0 209:25.0 210:33.0 211:16.0 212:17.0 213:6.0 214:17.0 215:12.0 216:23.0 217:12.0 218:1948.0 219:363.0 220:177.0 221:26.0 222:32.0 223:30.0 224:28.0 225:15.0 226:20.0 227:7.0 228:11.0 229:14.0 230:19.0 231:17.0 232:16.0 233:5.0 234:16.0 235:35.0 236:21.0 237:18.0 238:14.0 239:17.0 240:20.0 241:17.0 242:30.0 243:31.0 244:29.0 245:17.0 246:29.0 247:19.0 248:23.0 249:28.0 250:15.0 251:19.0 252:20.0 253:15.0 254:32.0 255:22.0 256:32.0 257:20.0 258:24.0 259:37.0 260:18.0 261:20.0 262:30.0 263:25.0 264:28.0 265:23.0 266:118.0 267:57.0 268:36.0 269:18.0 270:17.0 271:33.0 272:27.0 273:29.0 274:28.0 275:26.0 276:19.0 277:21.0 278:19.0 279:30.0 280:14.0 281:16.0 282:28.0 283:10.0 284:19.0 285:19.0 286:20.0 287:23.0 288:12.0 289:25.0 290:27.0 291:23.0 292:16.0 293:24.0 294:52.0 295:23.0 296:29.0 297:12.0 298:27.0 299:24.0 300:15.0 301:29.0 302:27.0 303:14.0 304:16.0 305:20.0 306:20.0 307:10.0 308:24.0 309:19.0 310:14.0 311:32.0 312:22.0 313:19.0 314:18.0 315:27.0 316:25.0 317:38.0 318:20.0 319:11.0 320:24.0 321:18.0 322:35.0 323:15.0 324:19.0 325:22.0 326:20.0 327:15.0 328:13.0 329:3.0 330:15.0 331:10.0 332:25.0 333:19.0 334:31.0 335:33.0 336:17.0 337:24.0 338:29.0 339:20.0 340:21.0 341:24.0 342:19.0 343:21.0 344:22.0 345:30.0 346:13.0 347:24.0 348:23.0 349:20.0 350:19.0 351:28.0 352:10.0 353:23.0 354:8.0 355:31.0 356:13.0 357:24.0 358:13.0 359:29.0 360:18.0 361:25.0 362:26.0 363:31.0 364:18.0 365:28.0 366:14.0 367:25.0 368:31.0 369:22.0 370:17.0 371:20.0 372:15.0 373:18.0 374:20.0 375:24.0 376:26.0 377:15.0 378:26.0 379:20.0 380:21.0 381:14.0 382:16.0 383:11.0 384:29.0 385:16.0 386:26.0 387:21.0 388:13.0 389:26.0 390:26.0 391:16.0 392:11.0 393:9.0 394:22.0 395:18.0 396:37.0 397:18.0 398:24.0 399:21.0 400:15.0 401:19.0 402:26.0 403:15.0 404:19.0 405:21.0 406:29.0 407:15.0 408:31.0 409:24.0 410:37.0 411:20.0 412:27.0 413:18.0 414:22.0 415:33.0 416:20.0 417:25.0 418:12.0 419:40.0 420:26.0 421:22.0 422:31.0 423:9.0 424:20.0 425:15.0 426:17.0 427:26.0 428:21.0 429:23.0 430:17.0 431:13.0 432:20.0 433:21.0 434:25.0 435:34.0 436:29.0 437:19.0 438:7.0 439:26.0 440:16.0 441:24.0 442:20.0 443:26.0 444:15.0 445:18.0 446:20.0 447:22.0 448:21.0 449:27.0 450:17.0 451:19.0 452:14.0 453:25.0 454:13.0 455:20.0 456:18.0 457:9.0 458:17.0 459:15.0 460:14.0 461:31.0 462:16.0 463:30.0 464:21.0 465:26.0 466:41.0 467:22.0 468:22.0 469:23.0 470:8.0 471:29.0 472:21.0 473:22.0 474:21.0 475:27.0 476:31.0 477:25.0 478:23.0 479:21.0 480:24.0 481:31.0 482:15.0 483:33.0 484:22.0 485:24.0 486:24.0 487:30.0 488:24.0 489:31.0 490:20.0 491:26.0 492:22.0 493:20.0 494:28.0 495:20.0 496:30.0 497:15.0 498:17.0 499:21.0 500:20.0</t>
  </si>
  <si>
    <t>pelargonic acid</t>
  </si>
  <si>
    <t>399114</t>
  </si>
  <si>
    <t>85:1898.0 86:2486.0 87:420.0 88:662.0 89:459.0 90:399.0 93:381.0 95:334.0 97:1018.0 98:3601.0 99:1787.0 100:934.0 101:904.0 102:573.0 103:439.0 105:2489.0 106:106.0 110:1748.0 111:507.0 112:5139.0 113:948.0 114:202.0 115:338.0 116:2800.0 117:49159.0 118:4077.0 119:1821.0 123:138.0 125:20.0 126:466.0 128:478.0 129:19976.0 130:4069.0 131:12457.0 132:12149.0 133:437.0 134:1143.0 136:467.0 139:91.0 140:275.0 142:125.0 143:1720.0 144:418.0 145:4901.0 146:547.0 147:835.0 154:5148.0 155:463.0 157:306.0 158:43.0 159:831.0 163:1.0 170:376.0 171:1358.0 172:1623.0 173:460.0 174:152.0 177:1.0 181:119.0 185:333.0 186:321.0 187:932.0 190:245.0 191:6237.0 192:1037.0 193:366.0 200:6687.0 201:2016.0 202:520.0 214:94.0 215:18040.0 216:3383.0 217:496.0 226:26.0 228:3962.0 229:610.0 230:407.0 233:11.0 243:582.0 244:15.0 246:124.0 248:36.0 257:60.0 288:19.0 304:22.0 315:16.0</t>
  </si>
  <si>
    <t>pantothenic acid</t>
  </si>
  <si>
    <t>691214</t>
  </si>
  <si>
    <t>85:274.0 86:242.0 87:114.0 88:123.0 89:173.0 90:37.0 91:150.0 94:8.0 95:48.0 96:26.0 97:15.0 98:557.0 99:107.0 100:306.0 101:288.0 102:591.0 103:5508.0 104:576.0 105:291.0 106:17.0 107:10.0 108:14.0 110:30.0 111:4.0 112:9.0 113:73.0 114:15.0 115:400.0 116:249.0 117:3252.0 118:344.0 119:182.0 120:3.0 121:1.0 122:7.0 124:134.0 125:2.0 127:4.0 128:82.0 129:1401.0 130:491.0 131:385.0 132:67.0 133:509.0 134:78.0 135:33.0 136:2.0 140:5.0 141:17.0 142:18.0 143:450.0 144:509.0 145:382.0 146:194.0 147:881.0 148:122.0 149:301.0 150:9.0 151:11.0 152:1.0 153:11.0 155:7.0 156:47.0 157:1852.0 158:263.0 159:1191.0 160:120.0 161:41.0 162:9.0 163:47.0 166:14.0 169:1.0 170:14.0 171:13.0 172:50.0 173:15.0 174:22.0 175:8.0 176:43.0 177:4.0 182:3.0 183:4.0 184:22.0 185:11.0 186:20.0 188:28.0 190:1.0 191:26.0 198:1.0 200:7.0 201:1376.0 202:134.0 203:91.0 204:24.0 205:3.0 211:1.0 214:5.0 216:4.0 217:64.0 218:45.0 219:41.0 221:1.0 227:2.0 229:1.0 230:3.0 231:8.0 232:1.0 237:1.0 240:11.0 241:1.0 242:6.0 244:3.0 245:3.0 246:41.0 247:439.0 248:73.0 249:16.0 252:2.0 260:2.0 261:98.0 262:22.0 263:2.0 264:2.0 272:1.0 273:1.0 275:8.0 276:3.0 277:2.0 291:933.0 292:139.0 293:39.0 297:2.0 313:2.0 320:1.0 327:2.0 328:3.0 330:7.0 332:7.0 333:1.0 335:5.0 353:1.0 362:1.0 370:1.0 384:1.0 385:1.0 409:1.0 410:1.0 412:3.0 420:36.0 421:12.0 422:3.0 443:1.0 447:1.0 450:1.0 474:2.0 479:1.0 480:2.0 481:1.0 488:1.0 489:2.0</t>
  </si>
  <si>
    <t>palmitic acid</t>
  </si>
  <si>
    <t>713542</t>
  </si>
  <si>
    <t>313</t>
  </si>
  <si>
    <t>85:2250.0 86:1007.0 87:742.0 88:528.0 89:1945.0 90:301.0 91:636.0 92:101.0 93:1586.0 94:168.0 95:4041.0 96:575.0 97:3248.0 98:2766.0 99:1825.0 100:304.0 101:1083.0 102:274.0 103:304.0 104:12.0 105:2043.0 106:166.0 107:778.0 108:64.0 109:1030.0 110:215.0 111:1426.0 112:625.0 113:304.0 114:78.0 115:635.0 116:3922.0 117:63198.0 118:6147.0 119:2716.0 120:150.0 121:455.0 122:57.0 123:424.0 124:107.0 125:365.0 126:207.0 127:347.0 128:249.0 129:27721.0 130:3578.0 131:10161.0 132:21970.0 133:5002.0 134:1207.0 135:500.0 136:44.0 137:107.0 138:55.0 139:199.0 140:153.0 141:202.0 142:254.0 143:7652.0 144:893.0 145:12272.0 146:1585.0 147:4516.0 148:646.0 149:557.0 150:52.0 151:58.0 152:16.0 153:166.0 154:176.0 155:149.0 156:24.0 157:598.0 158:85.0 159:1144.0 160:183.0 161:57.0 163:38.0 164:4.0 165:6.0 166:11.0 167:107.0 168:85.0 169:181.0 170:21.0 171:1015.0 172:154.0 173:364.0 174:157.0 175:38.0 176:5.0 177:59.0 178:17.0 179:18.0 180:17.0 181:134.0 182:98.0 183:50.0 184:9.0 185:1316.0 186:209.0 187:867.0 188:236.0 189:86.0 190:12.0 191:100.0 192:14.0 193:36.0 194:26.0 195:186.0 196:64.0 197:194.0 198:25.0 199:332.0 200:64.0 201:1997.0 202:347.0 203:110.0 204:126.0 205:52.0 206:18.0 207:128.0 208:24.0 209:68.0 210:22.0 211:21.0 212:4.0 213:309.0 214:50.0 215:277.0 216:94.0 217:1533.0 218:267.0 219:164.0 220:17.0 221:72.0 222:4.0 223:9.0 224:22.0 225:19.0 226:10.0 227:329.0 228:72.0 229:378.0 230:92.0 231:57.0 232:20.0 233:11.0 234:3.0 235:6.0 237:20.0 238:9.0 239:36.0 240:2.0 241:163.0 242:43.0 243:422.0 244:90.0 245:183.0 246:25.0 247:8.0 252:1.0 253:2.0 254:10.0 255:82.0 256:33.0 257:247.0 258:59.0 259:16.0 260:1.0 261:1.0 265:2.0 269:510.0 270:177.0 271:223.0 272:59.0 273:11.0 274:8.0 275:9.0 276:6.0 277:3.0 278:4.0 279:1.0 280:1.0 281:3.0 282:6.0 283:88.0 284:44.0 285:651.0 286:239.0 287:90.0 288:10.0 289:6.0 290:39.0 292:5.0 293:3.0 294:11.0 296:1.0 297:9.0 298:5.0 299:102.0 300:45.0 301:14.0 303:14.0 304:5.0 305:511.0 306:154.0 307:68.0 308:9.0 311:32.0 312:203.0 313:8356.0 314:3060.0 315:756.0 316:147.0 317:12.0 318:3.0 319:12.0 320:2.0 327:39.0 328:557.0 329:239.0 330:51.0 331:32.0 332:23.0 333:624.0 334:219.0 335:109.0 336:23.0 337:6.0 338:2.0 341:3.0 343:8.0 344:3.0 345:4.0 346:1.0 348:4.0 349:3.0 350:2.0 351:3.0 352:2.0 355:2.0 358:18.0 359:48.0 360:14.0 361:4.0 362:3.0 364:2.0 365:1.0 367:4.0 369:4.0 373:2.0 374:2.0 383:2.0 385:3.0 386:1.0 387:51.0 388:27.0 389:6.0 393:2.0 396:2.0 400:4.0 401:9.0 402:11.0 403:13.0 405:1.0 406:1.0 407:2.0 408:4.0 410:1.0 412:4.0 418:2.0 420:2.0 424:3.0 426:1.0 427:4.0 428:4.0 431:1.0 434:6.0 437:2.0 439:2.0 441:1.0 442:6.0 443:2.0 444:2.0 446:2.0 449:1.0 450:1.0 453:6.0 456:1.0 460:3.0 461:5.0 462:6.0 463:2.0 464:2.0 465:2.0 470:1.0 472:3.0 476:9.0 477:25.0 478:29.0 479:4.0 481:2.0 482:1.0 483:3.0 484:1.0 487:2.0 491:1.0 492:2.0 494:4.0 495:3.0 497:4.0 498:1.0 499:3.0</t>
  </si>
  <si>
    <t>oxoproline</t>
  </si>
  <si>
    <t>486399</t>
  </si>
  <si>
    <t>156</t>
  </si>
  <si>
    <t>85:411.0 86:579.0 88:30.0 89:41.0 90:9.0 91:54.0 92:82.0 94:22.0 95:6.0 96:21.0 97:47.0 98:104.0 99:161.0 100:396.0 101:80.0 102:65.0 103:101.0 104:1.0 105:43.0 108:29.0 109:3.0 110:132.0 111:17.0 112:450.0 113:124.0 114:209.0 115:135.0 116:17.0 117:189.0 118:27.0 119:42.0 120:2.0 122:46.0 124:7.0 125:4.0 126:70.0 127:40.0 128:29.0 129:51.0 130:26.0 131:381.0 132:107.0 133:669.0 134:94.0 135:61.0 136:7.0 137:1.0 139:14.0 140:506.0 141:153.0 142:112.0 145:1.0 146:4.0 147:3626.0 148:570.0 149:338.0 150:14.0 151:4.0 154:127.0 155:86.0 156:17955.0 157:2319.0 158:738.0 159:57.0 160:7.0 165:6.0 166:1.0 167:1.0 168:9.0 169:2.0 170:23.0 172:7.0 174:9.0 175:5.0 180:1.0 182:4.0 184:29.0 186:15.0 190:10.0 191:2.0 193:1.0 194:3.0 195:2.0 196:2.0 197:7.0 198:2.0 204:1.0 207:4.0 208:1.0 209:1.0 213:1.0 214:145.0 215:21.0 216:5.0 218:16.0 220:6.0 221:5.0 222:1.0 224:1.0 226:1.0 227:1.0 228:24.0 229:8.0 230:992.0 231:195.0 232:68.0 233:2.0 234:1.0 235:5.0 236:1.0 237:1.0 238:1.0 239:6.0 240:2.0 241:4.0 243:5.0 244:16.0 245:11.0 248:5.0 251:8.0 252:4.0 253:13.0 255:2.0 256:8.0 257:4.0 258:743.0 259:158.0 260:56.0 261:11.0 263:5.0 264:1.0 272:1.0 273:21.0 274:6.0 278:3.0 279:3.0 280:2.0 284:3.0 286:8.0 287:2.0 289:2.0 290:2.0 291:2.0 295:4.0 297:3.0 298:1.0 299:2.0 300:5.0 301:2.0 302:11.0 303:4.0 305:4.0 308:3.0 309:5.0 311:5.0 312:3.0 314:1.0 316:3.0 317:2.0 318:4.0 319:4.0 320:4.0 321:3.0 322:2.0 323:3.0 324:1.0 325:1.0 329:4.0 330:1.0 332:5.0 333:1.0 335:5.0 337:3.0 340:2.0 342:3.0 343:1.0 344:6.0 345:4.0 346:5.0 348:6.0 349:2.0 350:1.0 351:5.0 352:3.0 355:5.0 356:2.0 357:3.0 358:1.0 362:8.0 364:7.0 366:5.0 368:1.0 369:4.0 370:1.0 372:12.0 375:1.0 376:3.0 377:1.0 378:8.0 379:7.0 380:10.0 382:3.0 385:1.0 386:7.0 387:2.0 388:4.0 390:7.0 391:3.0 393:2.0 394:7.0 395:2.0 396:1.0 398:3.0 400:5.0 402:5.0 403:6.0 405:7.0 407:4.0 408:4.0 410:11.0 413:4.0 414:1.0 415:5.0 417:1.0 419:1.0 420:1.0 421:2.0 422:11.0 423:2.0 424:4.0 428:2.0 430:7.0 431:2.0 433:5.0 434:1.0 436:3.0 438:1.0 439:3.0 441:2.0 443:2.0 445:2.0 447:6.0 449:4.0 450:4.0 451:6.0 453:3.0 454:4.0 455:5.0 457:2.0 459:2.0 461:4.0 462:1.0 463:4.0 465:3.0 466:1.0 467:2.0 468:2.0 469:2.0 470:2.0 471:1.0 474:4.0 475:3.0 476:1.0 477:1.0 478:5.0 479:3.0 480:2.0 481:1.0 483:3.0 485:1.0 486:5.0 487:2.0 488:7.0 489:4.0 490:1.0 491:11.0 492:2.0 494:8.0 495:3.0 496:3.0 498:1.0 500:3.0</t>
  </si>
  <si>
    <t>594392</t>
  </si>
  <si>
    <t>86:13212.0 87:245.0 90:530.0 91:122.0 93:137.0 94:85.0 96:550.0 97:1449.0 98:891.0 100:7104.0 102:1238.0 107:126.0 108:272.0 109:138.0 110:261.0 112:603.0 114:1019.0 121:4.0 122:33.0 123:49.0 124:136.0 126:593.0 128:2118.0 130:345.0 136:46.0 137:37.0 138:47.0 139:32.0 140:355.0 142:8614.0 144:9.0 146:2409.0 152:58.0 153:294.0 154:1138.0 156:74.0 159:356.0 160:467.0 162:222.0 165:75.0 166:62.0 170:360.0 172:1701.0 173:75.0 174:28525.0 175:4774.0 176:2387.0 179:33.0 180:24.0 181:37.0 182:47.0 183:57.0 184:88.0 186:8094.0 187:1692.0 188:698.0 194:14.0 195:20.0 196:25.0 197:1.0 198:16.0 199:35.0 200:551.0 210:8.0 212:9.0 213:19.0 214:59.0 216:1141.0 225:11.0 226:24.0 227:28.0 228:29.0 235:14.0 236:26.0 237:28.0 238:22.0 239:20.0 240:10.0 241:25.0 242:34.0 244:1667.0 245:468.0 246:128.0 248:2.0 249:40.0 250:23.0 251:10.0 252:10.0 253:2.0 254:4.0 255:39.0 258:73.0 259:161.0 260:51.0 261:20.0 262:26.0 263:21.0 264:16.0 265:18.0 266:20.0 267:12.0 268:9.0 269:14.0 270:19.0 271:34.0 272:19.0 273:21.0 274:22.0 275:17.0 276:35.0 281:25.0 282:8.0 283:3.0 284:4.0 286:5.0 287:6.0 288:3.0 289:15.0 290:19.0 292:415.0 294:74.0 295:18.0 296:6.0 297:8.0 299:18.0 302:6.0 303:18.0 304:11.0 310:7.0 311:18.0 312:10.0 313:8.0 317:25.0 325:15.0 326:11.0 327:10.0 329:5.0 330:18.0 336:2.0 337:6.0 338:4.0 339:7.0 340:7.0 342:3.0 344:7.0 345:20.0 347:22.0 348:1023.0 349:322.0 350:146.0 351:12.0 352:2.0 354:2.0 355:6.0 356:5.0 360:3.0 362:4.0 363:2.0 364:2.0 365:3.0 366:1.0 367:2.0 368:5.0 369:4.0 375:2.0 376:3.0 377:5.0 378:1.0 379:3.0 380:2.0 381:5.0 383:7.0 385:2.0 386:4.0 388:2.0 390:2.0 391:2.0 392:14.0 393:8.0 394:3.0 395:1.0 396:2.0 397:1.0 398:1.0 399:1.0 400:1.0 403:2.0 405:4.0 407:2.0 408:9.0 409:4.0 410:9.0 412:1.0 416:2.0 418:1.0 419:1.0 420:4.0 421:7.0 422:3.0 423:5.0 424:3.0 428:1.0 430:42.0 431:1.0 434:4.0 435:3.0 437:13.0 439:2.0 448:13.0 449:8.0 451:12.0 452:21.0 453:7.0 454:3.0 455:1.0 456:1.0 460:1.0 461:1.0 462:4.0 463:2.0 464:1.0 466:1.0 467:1.0 468:1.0 470:3.0 471:1.0 472:1.0 476:1.0 477:3.0 478:12.0 479:1.0 482:2.0 484:3.0 487:3.0 488:5.0 489:1.0 493:2.0 496:1.0 497:2.0 498:3.0 500:5.0</t>
  </si>
  <si>
    <t>ornithine</t>
  </si>
  <si>
    <t>oleic acid</t>
  </si>
  <si>
    <t>778858</t>
  </si>
  <si>
    <t>339</t>
  </si>
  <si>
    <t>85:369.0 86:112.0 87:70.0 88:45.0 89:228.0 90:40.0 91:137.0 92:28.0 93:420.0 94:192.0 95:1135.0 96:1726.0 97:1126.0 98:1312.0 99:276.0 100:8.0 101:70.0 102:12.0 103:12.0 104:9.0 105:212.0 106:36.0 107:253.0 108:109.0 109:502.0 110:646.0 111:392.0 112:214.0 113:65.0 114:16.0 115:60.0 116:462.0 117:5482.0 118:521.0 119:367.0 120:57.0 121:173.0 122:49.0 123:342.0 124:216.0 125:123.0 126:58.0 127:24.0 128:20.0 129:4173.0 130:502.0 131:838.0 132:784.0 133:337.0 134:124.0 135:109.0 137:211.0 138:162.0 139:57.0 140:27.0 141:38.0 142:39.0 143:207.0 144:46.0 145:1394.0 146:165.0 147:51.0 148:60.0 149:6.0 151:114.0 152:168.0 153:42.0 154:16.0 155:161.0 156:41.0 157:90.0 158:30.0 159:96.0 160:24.0 161:37.0 162:14.0 164:8.0 165:60.0 166:98.0 167:36.0 168:18.0 169:104.0 170:50.0 171:148.0 172:64.0 173:51.0 174:5.0 175:31.0 176:5.0 177:1.0 179:30.0 180:178.0 181:43.0 182:14.0 183:120.0 184:22.0 185:284.0 186:88.0 187:69.0 188:23.0 189:10.0 190:5.0 192:9.0 193:15.0 194:13.0 195:8.0 196:12.0 197:27.0 198:3.0 199:302.0 200:65.0 201:71.0 202:20.0 203:8.0 204:4.0 205:3.0 206:4.0 207:40.0 208:15.0 209:9.0 210:6.0 211:22.0 212:4.0 213:52.0 214:13.0 215:11.0 216:10.0 217:5.0 218:5.0 219:2.0 220:27.0 221:38.0 222:173.0 223:50.0 224:6.0 225:6.0 226:9.0 227:52.0 228:12.0 229:12.0 230:15.0 231:7.0 232:8.0 233:11.0 235:34.0 236:34.0 237:3.0 238:3.0 239:5.0 240:1.0 241:55.0 242:19.0 243:13.0 244:3.0 245:12.0 246:17.0 247:5.0 248:3.0 249:8.0 250:9.0 252:7.0 253:20.0 254:11.0 255:39.0 256:6.0 257:27.0 258:18.0 260:16.0 261:2.0 263:1.0 264:132.0 265:28.0 266:7.0 267:7.0 268:8.0 269:10.0 270:2.0 271:15.0 272:18.0 273:9.0 274:11.0 275:3.0 276:6.0 277:10.0 278:7.0 279:12.0 280:9.0 281:8.0 282:10.0 283:1.0 284:1.0 285:5.0 286:9.0 287:5.0 288:3.0 289:1.0 290:2.0 291:12.0 292:2.0 294:10.0 295:15.0 296:8.0 297:10.0 298:11.0 300:2.0 301:10.0 302:7.0 303:9.0 304:2.0 305:1.0 306:2.0 307:2.0 308:6.0 309:9.0 310:9.0 311:16.0 312:11.0 313:4.0 314:11.0 315:2.0 318:3.0 319:4.0 320:4.0 321:14.0 322:7.0 323:8.0 324:13.0 325:7.0 326:14.0 327:9.0 328:3.0 329:7.0 330:5.0 331:4.0 332:6.0 333:8.0 334:10.0 335:9.0 336:2.0 338:9.0 339:576.0 340:240.0 341:75.0 342:9.0 343:9.0 344:7.0 345:6.0 346:2.0 347:5.0 348:10.0 349:5.0 350:7.0 351:1.0 352:7.0 353:4.0 354:41.0 355:27.0 356:4.0 357:6.0 358:8.0 359:2.0 360:1.0 361:7.0 362:1.0 363:3.0 364:8.0 366:5.0 367:7.0 368:14.0 369:3.0 370:8.0 371:16.0 372:12.0 373:20.0 375:3.0 376:11.0 377:4.0 378:1.0 379:2.0 380:9.0 381:6.0 382:10.0 383:9.0 384:6.0 385:12.0 386:2.0 387:3.0 388:2.0 389:4.0 390:6.0 391:2.0 392:4.0 394:5.0 395:8.0 396:5.0 398:11.0 399:3.0 400:6.0 401:7.0 402:4.0 403:5.0 404:4.0 405:13.0 406:2.0 407:4.0 408:9.0 409:4.0 410:7.0 411:5.0 412:9.0 413:3.0 414:10.0 415:7.0 416:1.0 417:10.0 418:7.0 419:8.0 420:14.0 421:2.0 423:10.0 424:4.0 425:5.0 427:5.0 428:18.0 429:5.0 431:4.0 432:12.0 433:2.0 434:10.0 435:2.0 436:6.0 438:6.0 439:9.0 441:16.0 442:6.0 443:12.0 444:7.0 445:17.0 446:2.0 447:9.0 448:1.0 449:5.0 450:1.0 451:15.0 452:4.0 453:3.0 454:3.0 455:4.0 456:4.0 457:15.0 458:2.0 459:6.0 460:9.0 461:1.0 462:2.0 463:3.0 464:2.0 465:2.0 466:9.0 467:5.0 468:18.0 469:2.0 470:5.0 471:11.0 472:8.0 473:3.0 474:9.0 475:9.0 476:12.0 477:4.0 478:10.0 479:7.0 480:4.0 481:15.0 482:1.0 483:9.0 484:6.0 485:10.0 486:1.0 487:4.0 489:6.0 490:1.0 492:6.0 493:9.0 495:15.0 496:13.0 498:6.0 499:12.0 500:6.0</t>
  </si>
  <si>
    <t>octadecanol</t>
  </si>
  <si>
    <t>755073</t>
  </si>
  <si>
    <t>327</t>
  </si>
  <si>
    <t>85:709.0 86:41.0 87:506.0 88:67.0 89:1409.0 90:107.0 91:339.0 92:55.0 93:12.0 94:8.0 95:256.0 96:71.0 97:1942.0 98:200.0 99:345.0 100:46.0 101:691.0 102:29.0 103:1833.0 104:138.0 105:14.0 107:9.0 108:2.0 109:63.0 110:35.0 111:783.0 112:53.0 113:145.0 114:6.0 115:325.0 116:12.0 118:4.0 119:8.0 120:1.0 121:2.0 123:21.0 124:11.0 125:228.0 126:25.0 127:12.0 129:173.0 130:48.0 132:19.0 135:1.0 136:2.0 138:10.0 139:62.0 140:12.0 141:7.0 143:62.0 146:2.0 148:1.0 149:6.0 152:4.0 153:18.0 154:2.0 155:5.0 156:4.0 157:14.0 159:4.0 160:1.0 162:2.0 163:6.0 164:3.0 165:1.0 167:10.0 168:5.0 169:15.0 171:14.0 172:4.0 173:1.0 176:3.0 177:2.0 178:6.0 179:1.0 180:3.0 181:4.0 182:13.0 183:7.0 184:10.0 185:18.0 186:4.0 187:3.0 188:4.0 193:12.0 195:7.0 196:3.0 197:1.0 198:6.0 199:20.0 200:4.0 201:5.0 202:4.0 205:5.0 207:18.0 208:8.0 209:17.0 210:9.0 212:4.0 213:15.0 214:2.0 215:9.0 220:2.0 221:1.0 223:2.0 224:7.0 225:4.0 226:15.0 227:25.0 228:4.0 230:5.0 231:2.0 233:1.0 235:4.0 237:8.0 238:3.0 239:5.0 241:14.0 242:4.0 244:4.0 245:4.0 246:1.0 251:5.0 252:5.0 254:2.0 255:13.0 256:5.0 257:5.0 258:4.0 259:4.0 261:6.0 264:6.0 265:9.0 267:5.0 268:3.0 269:2.0 270:3.0 271:4.0 272:3.0 273:5.0 274:5.0 275:4.0 276:3.0 278:5.0 279:7.0 280:2.0 281:10.0 282:3.0 283:4.0 286:4.0 287:1.0 289:2.0 290:10.0 291:1.0 293:3.0 294:4.0 295:2.0 296:13.0 297:9.0 299:2.0 300:4.0 301:3.0 302:6.0 303:7.0 304:2.0 305:2.0 306:1.0 308:6.0 309:6.0 310:8.0 311:21.0 312:2.0 313:3.0 314:1.0 315:1.0 316:2.0 317:3.0 320:3.0 321:1.0 323:4.0 325:4.0 326:41.0 327:1385.0 328:610.0 329:176.0 330:37.0 332:2.0 334:3.0 335:3.0 336:4.0 337:7.0 339:2.0 340:6.0 341:1.0 342:2.0 344:4.0 345:6.0 347:3.0 348:6.0 349:3.0 351:6.0 352:12.0 353:2.0 354:2.0 355:4.0 358:3.0 359:3.0 360:2.0 361:3.0 362:2.0 363:1.0 364:12.0 365:10.0 367:7.0 370:1.0 371:8.0 372:1.0 373:7.0 374:6.0 375:6.0 376:2.0 377:3.0 378:1.0 379:5.0 380:2.0 381:6.0 382:5.0 383:7.0 384:2.0 385:14.0 386:2.0 387:8.0 388:2.0 389:1.0 390:3.0 391:4.0 392:10.0 393:3.0 394:3.0 395:9.0 397:12.0 399:1.0 400:1.0 401:2.0 402:3.0 403:1.0 404:15.0 405:1.0 406:7.0 407:2.0 408:7.0 409:2.0 410:6.0 411:8.0 412:8.0 413:3.0 414:9.0 415:4.0 416:6.0 417:8.0 418:1.0 419:1.0 420:11.0 422:15.0 423:6.0 424:1.0 425:11.0 427:16.0 429:10.0 430:2.0 431:8.0 432:8.0 433:8.0 434:8.0 435:7.0 436:6.0 437:11.0 439:8.0 441:3.0 442:2.0 443:4.0 445:3.0 446:2.0 448:3.0 449:4.0 450:3.0 452:1.0 453:5.0 454:5.0 455:4.0 456:10.0 457:6.0 458:1.0 459:1.0 460:4.0 462:2.0 463:6.0 464:4.0 465:6.0 467:1.0 468:2.0 469:1.0 470:4.0 471:3.0 472:7.0 473:3.0 475:3.0 476:5.0 477:2.0 478:9.0 479:5.0 480:6.0 481:1.0 482:3.0 483:6.0 484:5.0 485:2.0 486:1.0 489:1.0 490:13.0 491:1.0 492:8.0 493:2.0 494:1.0 495:4.0 496:1.0 497:4.0 498:6.0 500:4.0</t>
  </si>
  <si>
    <t>N-methylalanine</t>
  </si>
  <si>
    <t>286258</t>
  </si>
  <si>
    <t>130</t>
  </si>
  <si>
    <t>86:191.0 87:45.0 88:27.0 89:4.0 91:12.0 93:41.0 94:19.0 96:29.0 97:6.0 98:152.0 99:11.0 100:465.0 101:117.0 102:65.0 103:157.0 104:2.0 105:14.0 106:6.0 107:6.0 109:9.0 111:4.0 112:19.0 113:12.0 114:188.0 115:78.0 116:14.0 117:66.0 118:19.0 119:22.0 120:1.0 121:4.0 126:6.0 127:21.0 128:25.0 129:26.0 130:6974.0 131:948.0 132:339.0 133:185.0 134:29.0 135:1.0 136:1.0 140:12.0 141:2.0 142:112.0 143:14.0 144:8.0 145:5.0 146:8.0 147:1084.0 148:182.0 149:60.0 150:4.0 151:1.0 153:11.0 154:13.0 155:8.0 158:15.0 159:1.0 160:14.0 162:2.0 163:15.0 164:1.0 165:1.0 166:2.0 168:5.0 170:1.0 171:8.0 174:20.0 177:7.0 178:3.0 180:1.0 183:1.0 187:6.0 189:2.0 191:3.0 194:5.0 197:5.0 198:7.0 200:2.0 202:6.0 203:2.0 204:201.0 205:37.0 206:9.0 207:5.0 208:18.0 209:1.0 210:1.0 213:1.0 215:2.0 216:6.0 218:73.0 219:12.0 220:1.0 221:9.0 222:9.0 223:1.0 225:17.0 227:2.0 228:4.0 229:1.0 231:1.0 232:24.0 233:6.0 235:1.0 236:8.0 237:3.0 238:10.0 243:1.0 244:7.0 245:2.0 246:7.0 247:9.0 248:1.0 249:4.0 250:5.0 252:7.0 253:1.0 254:3.0 255:7.0 256:4.0 258:10.0 259:5.0 260:4.0 267:1.0 268:7.0 269:1.0 272:7.0 273:1.0 275:2.0 277:3.0 282:10.0 283:3.0 285:3.0 286:8.0 290:11.0 292:10.0 299:2.0 300:4.0 302:2.0 303:4.0 304:12.0 307:17.0 308:4.0 311:7.0 312:20.0 319:2.0 320:7.0 322:2.0 323:1.0 328:5.0 329:4.0 330:11.0 331:4.0 332:3.0 333:2.0 336:5.0 337:1.0 339:5.0 340:1.0 341:8.0 342:2.0 343:1.0 345:2.0 347:5.0 350:5.0 353:4.0 354:14.0 355:2.0 356:8.0 359:5.0 360:3.0 361:1.0 362:2.0 363:1.0 366:7.0 367:9.0 369:2.0 370:4.0 372:7.0 377:9.0 378:5.0 380:8.0 381:2.0 382:4.0 386:1.0 391:5.0 392:5.0 393:2.0 394:5.0 396:7.0 397:10.0 398:2.0 401:4.0 402:3.0 404:9.0 406:2.0 408:2.0 409:1.0 410:4.0 411:2.0 412:1.0 414:10.0 415:6.0 419:10.0 420:4.0 421:4.0 423:2.0 424:2.0 425:2.0 427:4.0 428:18.0 429:1.0 431:2.0 432:11.0 433:10.0 434:7.0 435:3.0 438:1.0 439:3.0 440:7.0 441:4.0 444:3.0 447:5.0 448:5.0 452:9.0 455:2.0 456:2.0 457:10.0 459:2.0 462:2.0 463:6.0 467:4.0 469:16.0 470:7.0 471:3.0 474:3.0 477:9.0 478:3.0 479:2.0 480:4.0 483:5.0 484:13.0 486:2.0 488:1.0 489:3.0 490:2.0 491:4.0 493:5.0 494:5.0 495:7.0 496:11.0 497:8.0 498:6.0 499:4.0 500:5.0</t>
  </si>
  <si>
    <t>723859</t>
  </si>
  <si>
    <t>85:199.0 86:371.0 87:8665.0 88:154.0 89:2267.0 90:209.0 97:237.0 98:677.0 99:1017.0 100:1427.0 101:1544.0 102:373.0 103:4394.0 104:275.0 105:302.0 110:457.0 111:95.0 112:390.0 113:434.0 114:315.0 115:344.0 116:1878.0 117:4879.0 118:810.0 119:45.0 123:138.0 124:22.0 128:652.0 129:7842.0 130:2394.0 131:2272.0 132:526.0 133:2954.0 134:142.0 136:62.0 137:158.0 138:135.0 139:22.0 141:746.0 143:753.0 144:581.0 146:87.0 147:10800.0 148:891.0 149:1197.0 150:72.0 151:29.0 153:469.0 154:291.0 155:135.0 156:74.0 157:2045.0 158:933.0 159:161.0 160:25.0 168:87.0 169:219.0 170:376.0 171:1278.0 172:380.0 173:2972.0 174:493.0 175:98.0 179:23.0 181:36.0 182:118.0 183:209.0 184:105.0 185:150.0 186:434.0 187:139.0 188:118.0 189:1564.0 190:242.0 195:231.0 196:110.0 197:38.0 198:58.0 199:128.0 200:347.0 201:319.0 202:4064.0 203:710.0 204:1039.0 205:3834.0 206:688.0 207:373.0 210:190.0 211:236.0 212:136.0 213:739.0 214:209.0 215:194.0 216:53.0 217:1685.0 218:377.0 219:40.0 220:6.0 224:8.0 225:91.0 227:308.0 228:17.0 229:433.0 230:94.0 231:819.0 232:149.0 233:61.0 237:127.0 238:134.0 240:2.0 241:3.0 242:25.0 243:1256.0 244:320.0 245:75.0 246:163.0 247:73.0 252:138.0 254:35.0 255:186.0 257:5.0 258:86.0 259:780.0 260:284.0 261:13.0 262:3.0 263:2.0 269:137.0 270:60.0 271:66.0 273:13.0 274:1214.0 275:332.0 276:139.0 277:49.0 278:21.0 279:26.0 281:3.0 284:15.0 285:132.0 286:11.0 287:11.0 290:41.0 291:61.0 293:34.0 298:33.0 299:205.0 300:196.0 301:45.0 302:11.0 303:43.0 305:178.0 306:59.0 307:65.0 308:24.0 312:29.0 313:121.0 314:32.0 315:138.0 317:14.0 318:21.0 319:1802.0 320:478.0 321:234.0 322:55.0 326:7.0 327:34.0 333:694.0 334:249.0 335:79.0 345:71.0 353:9.0 356:1.0 357:98.0 358:9.0 359:133.0 360:61.0 374:82.0 375:14.0 403:9.0 421:3.0 427:21.0 441:59.0 483:5.0 485:6.0</t>
  </si>
  <si>
    <t>547636</t>
  </si>
  <si>
    <t>86:459.0 87:7061.0 89:7987.0 90:4174.0 93:1883.0 94:1274.0 95:1398.0 96:1111.0 98:3409.0 99:1047.0 100:7970.0 101:4485.0 103:1196.0 105:621.0 107:3084.0 109:858.0 110:7197.0 111:1530.0 112:1048.0 113:1449.0 115:5949.0 116:13955.0 117:22159.0 118:7009.0 119:424.0 120:1057.0 122:1132.0 123:345.0 125:573.0 128:3404.0 129:7916.0 130:7954.0 131:17466.0 132:4663.0 133:4370.0 134:7488.0 135:383.0 136:2946.0 137:579.0 138:990.0 140:97.0 141:697.0 142:6059.0 143:2972.0 144:9063.0 145:2242.0 146:3866.0 148:7423.0 149:2133.0 150:809.0 151:205.0 152:723.0 154:53.0 156:411.0 158:25414.0 159:4282.0 160:14753.0 161:292.0 162:2088.0 163:157.0 165:401.0 166:1733.0 167:188.0 169:183.0 172:3412.0 173:831.0 174:4005.0 176:2434.0 177:590.0 181:189.0 182:115.0 184:3675.0 185:2631.0 186:2443.0 187:842.0 190:705.0 191:11585.0 192:3376.0 193:468.0 195:186.0 196:58.0 198:686.0 199:1780.0 200:261.0 201:551.0 202:8462.0 203:784.0 204:243.0 205:83.0 207:967.0 208:474.0 211:233.0 212:395.0 213:75.0 214:2787.0 215:659.0 217:1950.0 218:1255.0 219:1360.0 220:877.0 222:94.0 225:362.0 226:15.0 229:145.0 230:292.0 232:130.0 233:508.0 236:1133.0 237:703.0 239:166.0 240:106.0 243:81.0 244:29.0 245:2371.0 246:348.0 255:146.0 257:3885.0 258:1017.0 259:461.0 260:2.0 261:44.0 262:61.0 263:103.0 264:334.0 266:64.0 269:694.0 271:1164.0 272:205.0 273:718.0 275:909.0 277:157.0 278:369.0 279:18.0 280:242.0 283:96.0 284:77.0 285:55.0 287:123.0 288:8.0 290:772.0 291:636.0 292:184.0 294:89.0 297:162.0 298:218.0 299:1166.0 300:297.0 301:60.0 302:235.0 303:450.0 304:2856.0 305:270.0 306:329.0 307:78.0 308:5.0 313:34.0 314:21.0 318:834.0 320:154.0 321:566.0 323:170.0 324:228.0 326:5.0 328:193.0 329:14.0 330:28.0 331:39.0 335:29.0 336:69.0 341:4.0 344:11.0 347:381.0 350:24.0 351:9.0 353:100.0 354:1744.0 355:1182.0 356:254.0 357:82.0 360:235.0 364:144.0 368:21.0 369:352.0 370:78.0 372:25.0 373:5.0 374:35.0 379:294.0 392:81.0 393:87.0 394:2.0 401:2.0 403:109.0 421:177.0 422:30.0 431:4.0 437:67.0 439:139.0 440:24.0 441:29.0 446:7.0 449:30.0 450:721.0 451:1738.0 452:781.0 453:282.0 454:262.0 455:39.0 459:5.0 461:15.0 465:124.0 466:139.0 467:71.0 469:8.0 470:10.0 473:4.0 475:26.0 478:18.0 490:89.0 491:8.0</t>
  </si>
  <si>
    <t>myristic acid</t>
  </si>
  <si>
    <t>634543</t>
  </si>
  <si>
    <t>285</t>
  </si>
  <si>
    <t>85:416.0 86:210.0 87:140.0 88:111.0 89:675.0 90:120.0 92:132.0 93:183.0 94:22.0 95:657.0 96:62.0 97:455.0 98:384.0 99:309.0 100:253.0 101:342.0 102:103.0 103:393.0 104:2.0 105:426.0 106:30.0 107:104.0 108:4.0 109:155.0 110:23.0 111:174.0 112:80.0 113:55.0 114:42.0 115:56.0 116:921.0 117:10900.0 118:1035.0 119:428.0 120:34.0 121:45.0 122:6.0 123:38.0 124:10.0 125:32.0 126:31.0 128:28.0 129:4523.0 130:587.0 131:1848.0 132:3305.0 133:663.0 134:216.0 136:6.0 137:3.0 139:22.0 140:13.0 141:22.0 142:23.0 143:1314.0 144:140.0 145:1748.0 146:229.0 147:133.0 148:74.0 149:144.0 151:3.0 152:1.0 154:26.0 155:11.0 156:25.0 157:85.0 159:143.0 160:42.0 161:9.0 162:6.0 163:19.0 167:45.0 168:6.0 170:3.0 171:134.0 176:2.0 178:1.0 179:6.0 181:21.0 184:15.0 185:170.0 186:33.0 187:100.0 188:158.0 189:65.0 190:15.0 193:7.0 194:4.0 196:2.0 198:10.0 199:41.0 200:2.0 201:252.0 202:42.0 205:4.0 206:11.0 208:2.0 209:1.0 211:9.0 213:24.0 214:9.0 215:46.0 222:6.0 223:1.0 224:5.0 227:18.0 228:4.0 229:13.0 230:3.0 235:13.0 237:2.0 238:1.0 239:2.0 240:8.0 241:96.0 242:27.0 243:43.0 244:5.0 246:6.0 248:20.0 250:5.0 253:6.0 255:7.0 257:76.0 258:29.0 260:2.0 262:21.0 263:10.0 264:89.0 265:17.0 266:3.0 267:2.0 268:5.0 270:4.0 271:14.0 273:3.0 274:6.0 275:1.0 276:7.0 277:2.0 280:12.0 283:4.0 284:20.0 285:1645.0 286:366.0 287:106.0 288:23.0 290:27.0 291:6.0 292:8.0 298:1.0 299:2.0 300:70.0 301:22.0 302:7.0 304:1.0 309:3.0 313:1.0 320:10.0 323:2.0 326:3.0 328:3.0 330:4.0 333:6.0 336:8.0 337:2.0 339:3.0 344:1.0 346:3.0 347:4.0 350:1.0 351:2.0 355:6.0 357:5.0 358:1.0 360:1.0 363:1.0 365:1.0 366:2.0 367:1.0 368:8.0 369:1.0 370:3.0 371:4.0 372:4.0 373:3.0 374:2.0 375:2.0 376:2.0 377:3.0 378:8.0 379:3.0 383:4.0 388:9.0 389:4.0 390:1.0 394:1.0 402:8.0 404:3.0 406:3.0 409:2.0 413:2.0 418:4.0 419:4.0 421:3.0 423:4.0 425:3.0 428:1.0 430:1.0 432:5.0 434:4.0 435:2.0 436:1.0 440:1.0 442:3.0 443:7.0 444:4.0 445:2.0 446:2.0 448:2.0 449:3.0 450:4.0 451:6.0 453:2.0 456:2.0 457:6.0 458:3.0 460:1.0 464:4.0 465:7.0 466:1.0 469:4.0 471:2.0 475:2.0 476:3.0 481:1.0 484:4.0 489:2.0 491:1.0 494:1.0 495:1.0 496:1.0 498:1.0 500:2.0</t>
  </si>
  <si>
    <t>monopalmitin-1-glyceride</t>
  </si>
  <si>
    <t>901207</t>
  </si>
  <si>
    <t>371</t>
  </si>
  <si>
    <t>85:631.0 86:60.0 87:31.0 88:69.0 89:113.0 91:26.0 92:8.0 93:48.0 95:909.0 96:19.0 97:532.0 98:174.0 99:191.0 101:1315.0 102:107.0 103:1040.0 104:45.0 105:19.0 107:8.0 109:435.0 110:6.0 111:104.0 113:36.0 115:74.0 116:861.0 117:1193.0 118:74.0 121:4.0 123:165.0 124:2.0 125:36.0 126:1.0 129:1437.0 130:179.0 131:542.0 132:323.0 133:484.0 134:1.0 135:57.0 137:65.0 143:44.0 145:483.0 146:121.0 147:1481.0 148:210.0 149:114.0 151:29.0 159:26.0 163:9.0 174:5.0 175:112.0 177:8.0 187:138.0 188:48.0 191:19.0 201:70.0 203:841.0 204:567.0 205:470.0 206:81.0 218:52.0 219:21.0 239:367.0 240:38.0 244:2.0 257:7.0 281:6.0 286:1.0 313:21.0 314:2.0 327:1.0 355:1.0 370:16.0 371:878.0 372:294.0 373:66.0 374:3.0 400:1.0 406:1.0 433:1.0 459:8.0 460:4.0 469:3.0 493:3.0</t>
  </si>
  <si>
    <t>methylhexadecanoic acid</t>
  </si>
  <si>
    <t>750645</t>
  </si>
  <si>
    <t>85:187.0 86:54.0 89:175.0 90:1.0 91:361.0 92:175.0 93:183.0 94:2.0 95:381.0 96:39.0 97:330.0 98:279.0 99:150.0 101:110.0 102:6.0 103:220.0 104:21.0 105:252.0 106:25.0 107:46.0 109:123.0 111:229.0 112:81.0 113:22.0 115:43.0 116:481.0 117:7486.0 118:650.0 119:283.0 121:27.0 123:8.0 125:25.0 126:6.0 127:7.0 128:32.0 129:3530.0 130:400.0 131:1108.0 132:2550.0 133:534.0 134:89.0 135:24.0 140:4.0 141:10.0 143:176.0 144:6.0 145:1391.0 146:175.0 147:196.0 152:8.0 154:15.0 155:11.0 157:58.0 159:116.0 160:3.0 166:1.0 167:14.0 168:6.0 171:59.0 172:9.0 174:2.0 177:3.0 181:4.0 185:110.0 186:7.0 187:67.0 188:5.0 199:13.0 200:13.0 201:183.0 203:2.0 205:19.0 209:1.0 213:18.0 215:5.0 217:99.0 221:5.0 224:2.0 227:28.0 228:2.0 229:5.0 240:1.0 241:9.0 242:5.0 243:41.0 251:1.0 252:3.0 257:31.0 258:3.0 266:4.0 268:1.0 272:3.0 274:12.0 275:1.0 277:1.0 283:47.0 284:18.0 285:11.0 299:43.0 300:4.0 307:2.0 313:3.0 319:28.0 326:26.0 327:771.0 328:254.0 329:63.0 332:2.0 333:1.0 334:2.0 342:55.0 343:17.0 345:2.0 347:3.0 364:2.0 365:2.0 372:1.0 386:1.0 391:1.0 393:2.0 397:1.0 407:1.0 410:2.0 411:1.0 426:3.0 436:3.0 445:1.0 446:1.0 450:1.0 458:4.0 460:3.0 462:6.0 470:4.0 477:2.0 479:1.0 483:7.0 485:1.0 487:1.0 490:1.0 491:1.0 492:2.0</t>
  </si>
  <si>
    <t>methionine</t>
  </si>
  <si>
    <t>483568</t>
  </si>
  <si>
    <t>176</t>
  </si>
  <si>
    <t>85:454.0 87:124.0 88:157.0 89:11837.0 90:886.0 91:406.0 93:55.0 94:473.0 95:65.0 96:347.0 98:34793.0 99:2989.0 100:6157.0 101:942.0 102:1291.0 103:8562.0 104:1156.0 105:1978.0 106:84.0 108:157.0 109:61.0 110:197.0 112:192.0 114:1776.0 115:1420.0 116:6996.0 117:504.0 118:229.0 119:558.0 120:10.0 121:62.0 122:66.0 125:237.0 128:22379.0 129:4727.0 130:3486.0 131:3991.0 132:1067.0 133:5865.0 134:1206.0 136:50.0 138:8.0 139:69.0 142:320.0 143:1794.0 144:8121.0 145:2400.0 146:2142.0 147:18716.0 148:2356.0 149:1666.0 150:445.0 152:38.0 153:7.0 155:82.0 159:246.0 160:769.0 161:12.0 162:47.0 163:34.0 164:11.0 165:17.0 166:42.0 167:83.0 168:406.0 170:657.0 171:344.0 172:1459.0 173:1058.0 174:48.0 175:77.0 176:23998.0 177:4695.0 178:2198.0 179:152.0 180:46.0 182:943.0 184:309.0 185:93.0 186:142.0 187:9.0 188:1689.0 189:1957.0 190:1561.0 191:5.0 194:7.0 195:76.0 197:78.0 198:147.0 199:159.0 200:267.0 201:20.0 202:1449.0 203:825.0 204:324.0 205:143.0 206:42.0 207:182.0 208:156.0 209:34.0 210:9.0 212:16.0 213:22.0 215:85.0 216:92.0 217:8072.0 218:2316.0 219:2673.0 220:567.0 221:1234.0 222:12.0 223:63.0 224:33.0 225:171.0 226:127.0 227:43.0 232:549.0 235:2.0 240:118.0 241:83.0 243:26.0 244:228.0 245:479.0 246:34.0 247:127.0 248:4.0 249:2.0 250:1118.0 251:305.0 252:127.0 253:24.0 255:11.0 256:27.0 263:64.0 264:24.0 265:26.0 266:114.0 267:125.0 268:25.0 269:9.0 271:33.0 272:172.0 273:85.0 274:117.0 276:2500.0 277:1014.0 278:342.0 279:200.0 289:75.0 291:388.0 292:104.0 293:1124.0 294:246.0 295:161.0 296:3.0 297:3.0 298:98.0 299:80.0 301:17.0 303:13.0 305:122.0 306:379.0 307:946.0 308:356.0 309:559.0 310:211.0 311:101.0 312:6.0 313:9.0 314:43.0 317:19.0 318:114.0 319:71.0 320:42.0 321:334.0 322:119.0 324:9.0 326:14.0 327:20.0 329:382.0 330:131.0 331:96.0 333:25.0 335:46.0 339:56.0 342:61.0 343:14.0 345:34.0 346:2.0 347:1.0 349:11.0 352:15.0 353:15.0 354:18.0 355:14.0 357:49.0 358:1.0 360:20.0 361:13.0 362:6.0 364:3.0 368:2.0 376:19.0 377:22.0 379:153.0 380:29.0 381:28.0 382:1.0 383:93.0 384:20.0 385:2.0 397:16.0 398:45.0 400:6.0 401:17.0 405:1.0 408:5.0 409:124.0 410:72.0 411:7.0 422:4.0 423:14.0 425:3.0 429:53.0 433:22.0 434:3.0 438:5.0 440:10.0 444:7.0 445:7.0 447:80.0 448:47.0 449:1.0 450:7.0 453:19.0 455:1.0 456:3.0 458:2.0 459:10.0 460:6.0 462:21.0 464:17.0 465:18.0 468:5.0 473:31.0 474:1.0 477:11.0 481:2.0 487:3.0 492:9.0 493:15.0 496:26.0 500:4.0</t>
  </si>
  <si>
    <t>methanolphosphate</t>
  </si>
  <si>
    <t>290163</t>
  </si>
  <si>
    <t>85:180.0 87:9.0 89:366.0 91:377.0 92:156.0 93:109.0 95:15.0 96:88.0 98:1663.0 99:244.0 100:66.0 101:74.0 102:201.0 106:358.0 107:296.0 109:100.0 110:928.0 113:43.0 114:97.0 115:360.0 117:65.0 121:84.0 122:281.0 123:91.0 125:167.0 128:7.0 130:688.0 131:1247.0 132:187.0 133:660.0 134:1186.0 135:443.0 136:69.0 137:42.0 138:20.0 139:169.0 143:13.0 147:8938.0 148:2330.0 149:175.0 150:56.0 151:8.0 152:1673.0 153:226.0 159:114.0 160:124.0 163:831.0 164:220.0 165:109.0 167:219.0 175:5.0 177:6.0 183:23.0 184:48.0 185:4.0 188:1.0 194:133.0 195:276.0 196:28.0 197:33.0 199:22.0 208:33.0 210:448.0 211:612.0 212:109.0 213:34.0 215:18.0 226:3.0 227:1901.0 228:374.0 229:234.0 241:2433.0 242:374.0 243:117.0 244:33.0 256:119.0 291:3.0 307:1.0 310:2.0 344:1.0 368:4.0 379:1.0 380:1.0 381:4.0 409:1.0 423:20.0 430:4.0 444:5.0</t>
  </si>
  <si>
    <t>mannose-6-phosphate NIST</t>
  </si>
  <si>
    <t>813200</t>
  </si>
  <si>
    <t>387</t>
  </si>
  <si>
    <t>89:698.0 101:549.0 102:8.0 103:641.0 108:16.0 113:64.0 114:17.0 116:51.0 122:1.0 124:11.0 125:2.0 126:1.0 129:1229.0 133:550.0 152:4.0 155:42.0 157:517.0 160:539.0 161:7.0 162:29.0 166:7.0 174:188.0 183:5.0 189:18.0 211:213.0 212:18.0 215:82.0 217:1190.0 218:365.0 219:45.0 225:22.0 227:55.0 228:23.0 229:119.0 231:105.0 240:5.0 243:32.0 244:1.0 247:411.0 248:72.0 255:65.0 268:9.0 269:45.0 277:51.0 278:16.0 283:110.0 293:1.0 294:2.0 299:1782.0 300:401.0 301:201.0 302:2.0 305:51.0 307:37.0 313:2.0 314:105.0 315:850.0 316:126.0 317:68.0 319:448.0 320:219.0 321:61.0 322:10.0 324:5.0 325:35.0 327:17.0 328:33.0 331:47.0 337:9.0 340:16.0 341:87.0 348:1.0 352:114.0 353:7.0 354:11.0 356:5.0 357:609.0 358:150.0 359:108.0 372:11.0 373:7.0 386:79.0 387:1505.0 388:654.0 389:310.0 390:109.0 392:5.0 400:2.0 401:14.0 404:8.0 406:40.0 407:33.0 408:23.0 413:4.0 415:21.0 419:17.0 421:14.0 424:1.0 470:10.0 471:150.0 473:34.0 491:1.0</t>
  </si>
  <si>
    <t>mannose</t>
  </si>
  <si>
    <t>645005</t>
  </si>
  <si>
    <t>205</t>
  </si>
  <si>
    <t>89:341.0 90:13.0 92:1.0 93:18.0 94:2.0 99:10.0 101:62.0 102:9.0 103:362.0 114:75.0 115:4.0 116:9.0 117:275.0 118:1.0 129:362.0 130:15.0 131:81.0 133:261.0 143:5.0 146:6.0 147:1250.0 148:102.0 153:2.0 157:173.0 159:2.0 160:314.0 161:21.0 162:1.0 177:2.0 189:80.0 191:46.0 193:2.0 204:968.0 205:523.0 206:73.0 207:17.0 217:194.0 226:1.0 229:28.0 234:1.0 248:1.0 261:1.0 271:2.0 291:1.0 306:11.0 319:158.0 320:56.0 321:8.0 329:1.0 375:3.0 382:2.0 394:1.0 416:1.0 435:1.0 454:1.0 462:6.0 463:1.0 471:1.0 475:3.0 486:3.0 492:4.0 493:2.0 500:3.0</t>
  </si>
  <si>
    <t>mannitol</t>
  </si>
  <si>
    <t>665209</t>
  </si>
  <si>
    <t>87:53.0 88:13.0 89:235.0 90:5.0 91:1317.0 92:880.0 93:94.0 97:12.0 101:206.0 102:10.0 103:1703.0 104:117.0 105:44.0 113:10.0 115:13.0 116:26.0 117:949.0 118:40.0 119:26.0 121:2.0 127:13.0 129:770.0 130:38.0 131:241.0 132:7.0 133:424.0 134:66.0 135:4.0 138:1.0 139:3.0 140:1.0 142:2.0 143:39.0 145:7.0 147:2398.0 148:469.0 149:298.0 150:10.0 155:6.0 157:361.0 158:27.0 159:5.0 163:6.0 165:1.0 167:1.0 168:1.0 169:9.0 175:7.0 177:2.0 178:4.0 183:33.0 184:3.0 185:3.0 189:161.0 190:20.0 191:121.0 194:3.0 199:1.0 203:5.0 204:187.0 205:1225.0 206:131.0 207:74.0 211:1.0 216:5.0 217:968.0 218:141.0 219:41.0 221:24.0 229:60.0 230:2.0 231:27.0 232:1.0 234:1.0 236:3.0 237:3.0 238:1.0 239:4.0 241:1.0 243:4.0 246:1.0 248:2.0 250:2.0 252:3.0 255:11.0 265:2.0 266:4.0 268:1.0 277:13.0 278:4.0 279:4.0 280:2.0 282:3.0 291:4.0 296:1.0 299:6.0 303:2.0 305:22.0 307:57.0 308:9.0 309:2.0 310:2.0 314:3.0 318:1.0 319:578.0 320:136.0 321:70.0 322:1.0 323:1.0 324:1.0 330:4.0 331:10.0 332:5.0 335:1.0 336:2.0 337:1.0 338:4.0 340:2.0 344:3.0 345:5.0 346:2.0 349:1.0 355:3.0 358:3.0 359:3.0 366:2.0 368:1.0 370:1.0 372:1.0 374:3.0 376:3.0 378:5.0 379:6.0 382:2.0 386:2.0 388:3.0 390:3.0 391:4.0 401:1.0 404:6.0 407:1.0 415:8.0 416:1.0 417:1.0 423:2.0 425:1.0 427:7.0 428:3.0 429:8.0 437:1.0 440:2.0 442:2.0 446:3.0 447:3.0 448:1.0 450:4.0 452:1.0 455:11.0 456:1.0 457:2.0 459:4.0 460:1.0 464:4.0 465:4.0 467:1.0 473:9.0 475:2.0 480:2.0 481:2.0 483:1.0 485:3.0 486:1.0 487:4.0 488:1.0 489:3.0 491:4.0 492:1.0 493:2.0 494:3.0 495:3.0 496:1.0 497:3.0 498:2.0</t>
  </si>
  <si>
    <t>361</t>
  </si>
  <si>
    <t>malic acid</t>
  </si>
  <si>
    <t>461034</t>
  </si>
  <si>
    <t>233</t>
  </si>
  <si>
    <t>85:2264.0 86:902.0 87:1518.0 88:378.0 89:1155.0 90:554.0 92:395.0 93:984.0 94:145.0 95:104.0 96:257.0 97:369.0 98:108.0 99:2895.0 100:593.0 101:29374.0 102:3884.0 103:4294.0 104:868.0 105:1798.0 106:583.0 107:3435.0 108:9.0 109:4.0 110:171.0 111:30.0 113:660.0 114:149.0 115:4912.0 116:4401.0 117:17794.0 118:1516.0 119:3528.0 120:332.0 121:347.0 122:27.0 123:53.0 125:55.0 126:689.0 127:11.0 128:259.0 129:3673.0 130:736.0 131:12959.0 132:1896.0 133:44496.0 134:3271.0 135:4516.0 136:957.0 137:36.0 138:62.0 140:13.0 142:95.0 143:7598.0 144:1212.0 145:1397.0 146:337.0 147:155409.0 148:24465.0 149:17868.0 150:2134.0 151:2895.0 152:422.0 153:184.0 154:2.0 157:773.0 158:147.0 159:631.0 160:389.0 161:533.0 162:105.0 163:354.0 164:59.0 165:83.0 169:34.0 170:1.0 171:7038.0 172:1010.0 173:1161.0 174:162.0 175:15092.0 176:3274.0 177:5607.0 178:807.0 179:339.0 180:76.0 182:30.0 184:817.0 185:765.0 186:425.0 187:178.0 188:38.0 189:19047.0 190:15033.0 191:13587.0 192:2850.0 193:1217.0 194:53.0 196:132.0 197:13.0 198:64.0 199:365.0 200:9.0 201:225.0 202:44.0 203:1885.0 204:846.0 205:877.0 206:165.0 207:309.0 208:23.0 210:1.0 211:43.0 212:8.0 213:4.0 214:5.0 215:140.0 216:157.0 217:7303.0 218:1407.0 219:818.0 220:99.0 221:3056.0 222:1006.0 223:316.0 224:433.0 225:78.0 226:14.0 228:19.0 229:110.0 231:7.0 232:105.0 233:29433.0 234:5809.0 235:2573.0 236:333.0 237:112.0 238:291.0 239:325.0 240:44.0 241:10.0 242:7.0 244:12.0 245:17290.0 246:3415.0 247:2458.0 248:328.0 249:78.0 254:9.0 256:1.0 259:58.0 260:439.0 261:55.0 262:22.0 263:4567.0 264:1179.0 265:5377.0 266:1808.0 267:652.0 268:36.0 269:13.0 272:3.0 287:28.0 291:168.0 292:93.0 293:74.0 295:209.0 296:3.0 305:901.0 306:1566.0 307:4557.0 308:1881.0 309:674.0 310:157.0 318:21.0 319:1661.0 320:524.0 321:235.0 322:30.0 323:16.0 327:40.0 330:1.0 334:49.0 335:3429.0 336:1075.0 337:508.0 338:84.0 341:5.0 350:72.0 351:8.0 355:1.0 359:1.0 362:11.0 369:1.0 370:10.0 402:14.0 429:1.0 431:2.0 479:5.0 498:4.0</t>
  </si>
  <si>
    <t>lysine</t>
  </si>
  <si>
    <t>662967</t>
  </si>
  <si>
    <t>85:852.0 86:70630.0 87:1598.0 88:21954.0 92:202.0 93:1532.0 94:2528.0 95:540.0 98:5117.0 99:52.0 100:61405.0 102:9398.0 107:10440.0 108:572.0 109:340.0 110:4972.0 112:16370.0 114:10568.0 115:9971.0 116:1290.0 122:216.0 123:359.0 124:1838.0 126:5671.0 128:59010.0 130:6242.0 132:3898.0 136:486.0 138:766.0 139:347.0 140:11135.0 141:613.0 142:5370.0 146:8163.0 152:57.0 153:1175.0 155:54361.0 156:177110.0 158:166.0 166:2737.0 167:545.0 168:1702.0 170:193.0 172:4287.0 174:144500.0 175:18867.0 176:9795.0 182:2538.0 184:1415.0 185:291.0 186:2966.0 188:473.0 197:53.0 198:291.0 199:356.0 200:13499.0 202:4024.0 212:835.0 213:1367.0 214:3146.0 215:241.0 216:1281.0 220:104.0 226:362.0 227:340.0 228:9410.0 230:20912.0 232:48.0 238:1330.0 240:1194.0 241:507.0 247:2595.0 248:1165.0 253:133.0 254:26436.0 255:2009.0 256:989.0 258:903.0 260:164.0 267:92.0 271:411.0 272:1475.0 273:356.0 274:246.0 282:281.0 283:177.0 287:20.0 288:148.0 295:1.0 298:133.0 301:107.0 302:663.0 314:138.0 315:298.0 316:124.0 317:27990.0 318:8406.0 327:214.0 329:2149.0 330:1027.0 335:140.0 340:102.0 341:147.0 348:165.0 349:38.0 357:341.0 359:262.0 360:146.0 361:246.0 362:879.0 363:215.0 366:28.0 368:21.0 369:14.0 372:435.0 373:123.0 375:169.0 385:62.0 386:29.0 387:74.0 388:216.0 390:10.0 391:239.0 392:386.0 393:155.0 394:27.0 397:14.0 398:14.0 399:103.0 400:70.0 401:27.0 414:83.0 417:10.0 418:39.0 428:50.0 429:24.0 430:8.0 431:27.0 433:184.0 434:2164.0 435:1666.0 436:826.0 437:308.0 438:83.0 441:3.0 442:8.0 444:23.0 446:4.0 447:8.0 448:1.0 450:12.0 452:45.0 453:63.0 454:6.0 455:46.0 459:1.0 460:15.0 461:17.0 463:19.0 466:132.0 467:192.0 468:37.0 470:34.0 474:18.0 476:100.0 483:17.0 484:6.0 486:5.0 488:4.0 494:30.0 495:212.0 496:61.0 497:29.0 498:14.0 500:4.0</t>
  </si>
  <si>
    <t>leucine</t>
  </si>
  <si>
    <t>346072</t>
  </si>
  <si>
    <t>85:34512.0 86:149407.0 87:41792.0 88:23086.0 89:13601.0 90:4836.0 91:2533.0 92:1249.0 93:1251.0 94:8767.0 95:5569.0 96:19664.0 97:16211.0 98:33287.0 99:57259.0 100:617018.0 101:90578.0 102:1134578.0 103:183427.0 104:49957.0 105:28416.0 106:2960.0 108:364.0 109:877.0 110:13183.0 111:5382.0 112:20993.0 113:15106.0 114:46145.0 115:130234.0 116:200134.0 117:44507.0 118:22908.0 119:28038.0 120:4759.0 121:1802.0 122:1062.0 123:1160.0 124:3679.0 125:2629.0 126:17565.0 127:2111.0 128:118697.0 129:44660.0 130:208310.0 131:99879.0 132:107328.0 133:165830.0 134:23753.0 135:15384.0 136:2115.0 137:1426.0 138:1449.0 139:1868.0 140:5377.0 141:2920.0 142:76030.0 143:19825.0 144:20688.0 145:5146.0 146:14913.0 147:438753.0 148:66211.0 149:33766.0 150:4276.0 151:640.0 152:3740.0 153:1698.0 154:7980.0 155:2071.0 156:17475.0 157:11032.0 158:3910272.0 159:665680.0 160:177698.0 161:20896.0 162:3380.0 163:7543.0 164:2376.0 165:1779.0 166:876.0 167:392.0 168:1929.0 169:1518.0 170:47154.0 171:15019.0 172:10350.0 173:3305.0 175:1048.0 176:13297.0 177:13145.0 178:3521.0 179:822.0 182:214.0 183:276.0 185:660.0 186:4809.0 187:1383.0 188:5269.0 189:1250.0 190:2598.0 191:10365.0 192:2993.0 193:381.0 194:183.0 195:61.0 196:452.0 197:283.0 198:312.0 200:866.0 201:143.0 202:5094.0 203:12010.0 204:6464.0 210:271.0 211:1712.0 212:310.0 213:63.0 214:746.0 215:475.0 216:4840.0 217:2059.0 218:108516.0 219:27282.0 220:10663.0 221:651.0 222:225.0 226:256.0 227:177.0 228:72.0 229:117.0 230:1472.0 231:7795.0 232:139732.0 233:37491.0 234:14661.0 235:2523.0 236:550.0 237:151.0 238:246.0 239:89.0 241:7.0 242:1069.0 243:489.0 244:357.0 245:335.0 246:834.0 247:481.0 248:239.0 250:29.0 251:144.0 252:114.0 253:160.0 254:37.0 255:39.0 257:2600.0 258:1402.0 259:479.0 260:36336.0 261:8328.0 262:3321.0 263:356.0 264:32.0 274:333.0 275:424.0 276:194.0 277:70.0 278:3.0 281:10.0 282:16.0 285:337.0 286:132.0 290:42.0 300:534.0 302:171.0 305:2.0 306:36.0 309:27.0 318:31.0 320:13.0 323:58.0 328:7.0 331:3.0 332:3.0 335:59.0 338:4.0 344:7.0 347:1.0 351:10.0 352:23.0 359:5.0 365:2.0 367:13.0 371:23.0 376:10.0 386:5.0 388:41.0 390:2.0 392:29.0 399:5.0 402:4.0 405:1.0 406:25.0 407:1.0 410:2.0 413:17.0 414:35.0 417:10.0 420:12.0 424:4.0 427:2.0 434:12.0 435:6.0 437:30.0 439:63.0 441:24.0 447:3.0 449:5.0 452:22.0 453:21.0 455:3.0 457:4.0 462:2.0 463:11.0 468:16.0 470:28.0 471:11.0 474:3.0 476:24.0 481:27.0 483:26.0 492:28.0 495:30.0</t>
  </si>
  <si>
    <t>lauric acid</t>
  </si>
  <si>
    <t>547810</t>
  </si>
  <si>
    <t>85:88.0 89:61.0 90:2.0 91:4.0 95:22.0 96:4.0 97:61.0 98:44.0 99:58.0 100:11.0 101:28.0 102:4.0 106:3.0 107:5.0 109:1.0 110:5.0 111:1.0 113:3.0 116:86.0 117:1390.0 118:117.0 119:31.0 121:3.0 127:4.0 129:590.0 130:69.0 131:269.0 132:366.0 133:68.0 143:11.0 145:162.0 147:114.0 148:1.0 159:1.0 171:1.0 180:2.0 185:2.0 201:3.0 213:2.0 215:4.0 217:49.0 218:3.0 220:6.0 223:4.0 226:3.0 245:50.0 257:306.0 258:34.0 259:11.0 262:1.0 273:1.0 316:1.0 345:3.0 349:1.0 353:1.0 354:1.0 366:1.0 431:1.0 478:3.0</t>
  </si>
  <si>
    <t>lathosterol NIST</t>
  </si>
  <si>
    <t>1095135</t>
  </si>
  <si>
    <t>85:1661.0 86:198.0 87:265.0 88:85.0 89:1625.0 90:195.0 91:25081.0 92:4410.0 93:15518.0 94:4159.0 95:20744.0 96:2605.0 97:3831.0 98:382.0 99:458.0 100:45.0 101:2392.0 102:388.0 103:1972.0 104:1210.0 105:23255.0 106:6154.0 107:18834.0 108:3827.0 109:8361.0 110:1234.0 111:1951.0 112:227.0 113:317.0 114:96.0 115:3331.0 116:1871.0 117:8194.0 118:2417.0 119:13490.0 120:4758.0 121:7890.0 122:2811.0 123:3614.0 124:560.0 125:416.0 127:555.0 128:2468.0 129:7479.0 130:1990.0 131:10920.0 132:2637.0 133:11108.0 134:4498.0 135:6006.0 136:2027.0 137:1356.0 138:573.0 139:218.0 140:98.0 141:1810.0 142:1672.0 143:5691.0 144:3016.0 145:11411.0 146:2710.0 147:8701.0 148:2409.0 149:2278.0 150:327.0 151:839.0 152:1072.0 153:644.0 154:418.0 155:1862.0 156:788.0 157:4643.0 158:1882.0 159:8448.0 160:2572.0 161:5536.0 162:1166.0 163:1075.0 164:204.0 165:1474.0 166:313.0 167:491.0 168:526.0 169:2330.0 170:581.0 171:3482.0 172:1049.0 173:4094.0 174:1270.0 175:1109.0 176:326.0 177:308.0 178:92.0 179:586.0 180:239.0 181:881.0 182:871.0 183:1515.0 184:630.0 185:3115.0 186:1163.0 187:2228.0 188:462.0 189:841.0 190:182.0 191:369.0 192:253.0 193:853.0 194:200.0 195:737.0 196:1764.0 197:1123.0 198:344.0 199:2680.0 200:1140.0 201:2104.0 202:557.0 203:613.0 204:230.0 205:224.0 206:486.0 207:858.0 209:815.0 210:212.0 211:351.0 212:251.0 213:10990.0 214:2663.0 215:1538.0 216:451.0 217:366.0 218:100.0 219:187.0 220:144.0 221:467.0 222:129.0 223:328.0 224:71.0 225:82.0 226:110.0 227:1153.0 228:2148.0 229:5645.0 230:1099.0 231:293.0 232:105.0 233:379.0 234:52.0 235:331.0 236:47.0 237:170.0 238:85.0 239:415.0 240:148.0 241:650.0 242:386.0 243:236.0 244:186.0 245:422.0 246:217.0 247:492.0 248:159.0 249:178.0 250:222.0 251:223.0 252:3.0 253:557.0 254:245.0 255:10935.0 256:2573.0 257:508.0 258:66.0 259:361.0 260:571.0 261:256.0 262:98.0 263:66.0 265:19.0 268:71.0 269:103.0 270:22.0 271:130.0 272:33.0 273:87.0 274:194.0 275:168.0 276:30.0 277:17.0 279:37.0 280:1.0 281:47.0 282:229.0 283:180.0 284:92.0 285:86.0 286:82.0 287:72.0 289:59.0 290:276.0 291:145.0 292:8.0 293:42.0 297:68.0 298:2.0 299:179.0 301:83.0 302:30.0 303:637.0 304:532.0 305:152.0 306:19.0 307:28.0 309:71.0 310:6.0 311:149.0 312:33.0 313:202.0 314:215.0 315:199.0 316:38.0 317:76.0 318:484.0 319:201.0 320:65.0 324:32.0 325:266.0 326:162.0 327:335.0 328:267.0 329:244.0 330:154.0 331:21.0 332:59.0 333:42.0 339:22.0 340:43.0 341:62.0 342:200.0 343:191.0 344:173.0 345:835.0 346:275.0 347:35.0 348:21.0 351:23.0 352:87.0 353:1997.0 354:942.0 355:312.0 356:75.0 357:40.0 358:50.0 359:21.0 360:2.0 361:12.0 365:1.0 366:9.0 367:232.0 368:937.0 369:521.0 370:117.0 371:19.0 372:58.0 374:25.0 375:15.0 384:8.0 385:27.0 386:11.0 387:16.0 400:51.0 401:234.0 402:132.0 403:62.0 404:18.0 414:20.0 416:60.0 417:138.0 423:23.0 427:5.0 430:22.0 431:12.0 441:11.0 442:103.0 443:1224.0 444:1012.0 445:265.0 446:139.0 448:9.0 453:4.0 456:36.0 457:372.0 458:5022.0 459:3755.0 460:1199.0 461:441.0 462:80.0 463:81.0 464:27.0 474:6.0 475:60.0 476:19.0 477:10.0 488:14.0 489:192.0 490:42.0 491:36.0</t>
  </si>
  <si>
    <t>lactic acid</t>
  </si>
  <si>
    <t>216442</t>
  </si>
  <si>
    <t>191</t>
  </si>
  <si>
    <t>86:203.0 87:2389.0 88:3792.0 89:684.0 90:27.0 93:18.0 94:152.0 96:152.0 97:684.0 98:431.0 99:171.0 100:80.0 101:2248.0 102:1625.0 103:1433.0 104:247.0 105:490.0 106:42.0 107:103.0 108:21.0 113:82.0 114:5.0 115:1043.0 116:486.0 117:36844.0 118:3990.0 119:1944.0 120:129.0 121:22.0 122:8.0 123:8.0 124:20.0 125:714.0 126:12.0 129:687.0 130:173.0 131:2485.0 132:397.0 133:5026.0 134:757.0 135:417.0 136:36.0 139:69.0 143:14.0 144:2.0 145:44.0 146:40.0 147:41150.0 148:6507.0 149:3640.0 150:331.0 152:3.0 153:8.0 154:160.0 159:3.0 160:8.0 161:16.0 162:19.0 163:22.0 164:3.0 171:1.0 172:5.0 173:6.0 175:258.0 176:48.0 177:16.0 181:1.0 182:1.0 184:53.0 185:12.0 186:7.0 187:9.0 188:3.0 189:1.0 190:3826.0 191:6387.0 192:1351.0 193:459.0 194:65.0 195:12.0 196:5.0 197:9.0 198:15.0 199:15.0 203:186.0 204:30.0 205:15.0 206:11.0 207:1.0 208:9.0 210:3.0 211:1.0 212:1.0 217:24.0 218:10.0 219:1348.0 220:245.0 221:92.0 222:17.0 223:9.0 224:5.0 232:6.0 233:7.0 234:17.0 235:6.0 236:2.0 239:1.0 241:2.0 242:5.0 246:5.0 247:2.0 248:1.0 256:6.0 257:1.0 259:1.0 260:4.0 267:8.0 268:8.0 269:5.0 270:2.0 272:10.0 273:2.0 277:2.0 278:2.0 279:3.0 281:1.0 283:3.0 284:9.0 286:3.0 287:4.0 288:3.0 289:2.0 290:1.0 291:4.0 293:4.0 295:2.0 296:2.0 298:1.0 300:5.0 301:2.0 302:6.0 305:1.0 306:2.0 310:7.0 311:1.0 312:4.0 315:1.0 316:2.0 317:4.0 319:2.0 321:2.0 322:8.0 326:10.0 327:7.0 329:6.0 332:5.0 334:3.0 335:1.0 336:5.0 337:5.0 340:1.0 342:1.0 343:2.0 348:6.0 351:1.0 353:4.0 354:8.0 356:1.0 357:2.0 358:1.0 359:1.0 361:3.0 363:2.0 366:9.0 367:4.0 368:3.0 370:8.0 372:7.0 373:2.0 376:1.0 380:1.0 381:2.0 384:1.0 385:6.0 386:2.0 387:3.0 388:3.0 389:2.0 390:1.0 394:1.0 397:2.0 398:5.0 399:2.0 400:1.0 408:15.0 409:3.0 413:3.0 414:7.0 415:2.0 416:5.0 417:8.0 418:1.0 423:4.0 425:1.0 426:2.0 427:5.0 429:2.0 430:3.0 433:1.0 434:2.0 437:2.0 441:3.0 449:3.0 450:1.0 453:1.0 454:3.0 455:10.0 456:5.0 458:2.0 459:1.0 461:6.0 462:1.0 464:3.0 466:2.0 467:2.0 468:4.0 471:1.0 475:5.0 476:5.0 478:1.0 481:7.0 483:1.0 484:7.0 489:3.0 490:1.0 491:5.0 493:4.0 496:7.0 497:3.0</t>
  </si>
  <si>
    <t>isothreonic acid</t>
  </si>
  <si>
    <t>489846</t>
  </si>
  <si>
    <t>292</t>
  </si>
  <si>
    <t>85:155.0 86:70.0 89:322.0 90:41.0 91:85.0 92:73.0 93:234.0 96:28.0 98:28.0 99:31.0 101:76.0 102:1447.0 103:1824.0 104:203.0 105:115.0 106:38.0 108:13.0 110:10.0 112:44.0 113:75.0 114:25.0 116:110.0 117:2303.0 118:235.0 119:183.0 120:24.0 126:17.0 127:15.0 128:10.0 129:277.0 130:1049.0 131:693.0 132:124.0 133:1049.0 134:148.0 135:93.0 140:32.0 141:15.0 142:3.0 143:122.0 144:19.0 145:53.0 146:61.0 147:6589.0 148:987.0 149:550.0 150:64.0 151:21.0 152:18.0 155:11.0 157:53.0 158:38.0 159:12.0 160:15.0 161:16.0 162:12.0 163:41.0 164:11.0 165:26.0 170:5.0 173:12.0 175:42.0 176:12.0 177:215.0 178:42.0 179:15.0 180:5.0 181:1.0 186:25.0 189:241.0 190:59.0 191:159.0 192:53.0 193:50.0 194:17.0 196:2.0 198:9.0 199:4.0 200:54.0 201:18.0 203:68.0 204:150.0 205:969.0 206:205.0 207:595.0 208:121.0 209:94.0 210:17.0 212:2.0 213:3.0 217:687.0 218:150.0 219:92.0 220:917.0 221:1657.0 222:442.0 223:243.0 224:53.0 225:11.0 226:1.0 231:10.0 233:6.0 235:9.0 236:20.0 238:10.0 239:8.0 241:1.0 242:1.0 245:86.0 246:7.0 247:7.0 248:26.0 249:24.0 250:18.0 251:19.0 252:19.0 253:3.0 254:1.0 255:3.0 256:2.0 257:1.0 260:6.0 261:1.0 262:4.0 263:15.0 264:4.0 265:27.0 266:11.0 267:126.0 268:28.0 269:15.0 270:5.0 271:4.0 272:6.0 274:2.0 275:5.0 276:27.0 277:28.0 278:17.0 279:24.0 281:116.0 282:30.0 283:9.0 284:5.0 285:9.0 286:3.0 287:11.0 288:9.0 289:8.0 290:16.0 291:157.0 292:1226.0 293:388.0 294:178.0 295:264.0 296:80.0 297:28.0 298:3.0 299:2.0 300:4.0 301:2.0 303:9.0 305:13.0 307:10.0 308:1.0 309:5.0 310:6.0 311:21.0 312:9.0 315:4.0 316:7.0 317:3.0 318:9.0 319:96.0 320:25.0 321:29.0 322:8.0 323:19.0 324:16.0 325:116.0 326:42.0 327:25.0 328:19.0 329:3.0 330:8.0 331:9.0 332:3.0 333:6.0 334:1.0 335:4.0 336:1.0 337:10.0 338:8.0 339:14.0 340:16.0 341:194.0 342:46.0 343:38.0 344:14.0 345:6.0 346:3.0 347:3.0 349:6.0 351:5.0 352:8.0 353:8.0 354:11.0 355:100.0 356:39.0 357:21.0 358:19.0 359:3.0 360:6.0 361:12.0 362:7.0 363:7.0 364:5.0 365:4.0 366:2.0 367:14.0 368:9.0 369:12.0 370:6.0 371:7.0 372:8.0 373:9.0 374:4.0 375:4.0 376:4.0 377:8.0 378:12.0 379:29.0 380:9.0 381:16.0 382:12.0 383:5.0 384:7.0 386:3.0 387:5.0 388:3.0 389:2.0 390:5.0 391:2.0 392:2.0 393:9.0 394:13.0 395:6.0 398:6.0 399:2.0 400:9.0 401:7.0 402:5.0 404:4.0 405:13.0 406:7.0 407:5.0 408:10.0 409:39.0 410:26.0 411:7.0 412:4.0 413:1.0 414:10.0 415:7.0 416:10.0 417:4.0 418:6.0 419:6.0 420:8.0 421:4.0 422:5.0 423:7.0 424:2.0 425:6.0 426:11.0 427:3.0 428:5.0 429:18.0 430:12.0 431:4.0 432:1.0 433:2.0 434:11.0 435:1.0 436:14.0 437:5.0 438:8.0 439:6.0 440:4.0 441:5.0 442:13.0 443:4.0 444:7.0 446:14.0 447:12.0 448:6.0 449:6.0 450:2.0 451:12.0 452:3.0 453:4.0 454:10.0 455:8.0 456:7.0 457:2.0 458:7.0 459:12.0 460:5.0 461:4.0 462:6.0 463:6.0 464:12.0 465:14.0 466:6.0 467:8.0 468:6.0 469:6.0 470:5.0 471:14.0 473:10.0 474:1.0 475:10.0 476:14.0 477:2.0 479:2.0 481:18.0 483:11.0 484:8.0 486:11.0 490:11.0 491:4.0 492:1.0 493:6.0 494:7.0 496:5.0 497:1.0 498:8.0 499:4.0 500:1.0</t>
  </si>
  <si>
    <t>86</t>
  </si>
  <si>
    <t>isoleucine</t>
  </si>
  <si>
    <t>356931</t>
  </si>
  <si>
    <t>85:49.0 86:134.0 87:42.0 88:7.0 89:12.0 90:37.0 91:29.0 92:81.0 93:25.0 94:7.0 96:11.0 97:10.0 98:12.0 99:3.0 100:344.0 101:43.0 102:92.0 103:69.0 104:1.0 106:15.0 107:24.0 108:22.0 109:1.0 110:6.0 114:32.0 115:17.0 116:16.0 117:25.0 118:7.0 119:12.0 120:2.0 123:4.0 124:12.0 125:4.0 126:9.0 127:18.0 128:46.0 129:21.0 130:97.0 131:98.0 132:62.0 133:61.0 134:42.0 135:21.0 136:8.0 137:6.0 138:8.0 139:2.0 140:5.0 141:10.0 142:20.0 143:9.0 144:10.0 145:10.0 146:5.0 147:230.0 148:37.0 149:38.0 150:6.0 151:4.0 152:1.0 153:14.0 156:18.0 157:6.0 158:1614.0 159:172.0 160:49.0 161:17.0 162:12.0 163:10.0 164:6.0 166:4.0 167:7.0 168:7.0 169:2.0 170:42.0 171:9.0 172:11.0 173:12.0 174:2.0 175:11.0 176:11.0 177:6.0 178:8.0 179:5.0 180:12.0 181:15.0 182:5.0 183:12.0 184:32.0 186:3.0 187:12.0 188:5.0 189:7.0 190:12.0 191:7.0 192:14.0 193:12.0 194:15.0 195:9.0 196:4.0 197:10.0 198:3.0 199:5.0 200:7.0 201:4.0 202:3.0 203:29.0 204:12.0 205:7.0 207:17.0 208:3.0 209:7.0 210:6.0 211:11.0 212:9.0 213:14.0 214:10.0 215:12.0 216:2.0 217:6.0 218:152.0 219:32.0 220:29.0 221:8.0 222:11.0 223:14.0 224:11.0 225:12.0 226:17.0 227:14.0 228:12.0 229:4.0 230:5.0 231:12.0 232:42.0 233:20.0 234:22.0 235:15.0 236:15.0 237:4.0 238:5.0 240:12.0 241:19.0 242:10.0 243:10.0 244:12.0 245:7.0 246:1.0 247:11.0 248:6.0 249:7.0 250:11.0 251:16.0 252:17.0 253:2.0 254:8.0 255:15.0 256:12.0 257:3.0 258:4.0 259:10.0 260:18.0 261:16.0 262:24.0 263:5.0 264:12.0 265:5.0 266:12.0 267:12.0 268:2.0 269:3.0 270:6.0 271:12.0 272:2.0 273:5.0 274:5.0 276:4.0 277:12.0 278:7.0 279:15.0 280:16.0 281:8.0 282:12.0 283:18.0 284:5.0 285:4.0 286:5.0 287:4.0 288:17.0 289:12.0 290:1.0 291:8.0 292:6.0 293:12.0 294:6.0 295:15.0 296:7.0 297:5.0 298:6.0 299:5.0 300:10.0 301:4.0 302:12.0 303:1.0 304:1.0 305:8.0 306:9.0 307:7.0 308:12.0 309:9.0 310:11.0 311:7.0 312:8.0 313:8.0 314:11.0 315:11.0 316:8.0 317:6.0 318:8.0 319:11.0 320:2.0 321:6.0 322:18.0 323:7.0 324:17.0 325:14.0 326:10.0 327:17.0 328:22.0 329:11.0 330:5.0 331:12.0 332:3.0 333:6.0 334:12.0 335:14.0 336:2.0 337:4.0 338:9.0 339:9.0 341:3.0 342:20.0 343:7.0 344:14.0 345:12.0 346:9.0 347:17.0 348:11.0 349:10.0 350:2.0 351:5.0 352:1.0 353:3.0 354:12.0 355:9.0 356:1.0 357:9.0 358:6.0 359:5.0 360:11.0 361:2.0 362:2.0 363:3.0 364:16.0 365:3.0 366:9.0 368:4.0 369:12.0 370:9.0 371:1.0 372:10.0 373:3.0 374:12.0 375:8.0 376:11.0 377:20.0 378:15.0 379:4.0 380:7.0 381:7.0 382:5.0 383:15.0 384:8.0 385:10.0 386:11.0 387:28.0 388:15.0 389:5.0 390:5.0 391:12.0 392:3.0 393:14.0 394:8.0 395:15.0 396:3.0 397:10.0 398:9.0 399:9.0 400:2.0 401:9.0 402:7.0 403:14.0 404:14.0 405:14.0 406:12.0 407:18.0 408:9.0 409:6.0 410:10.0 411:7.0 412:12.0 413:12.0 414:9.0 415:2.0 416:5.0 417:4.0 418:4.0 419:11.0 420:16.0 421:11.0 422:2.0 423:14.0 424:5.0 425:6.0 426:19.0 427:4.0 428:2.0 429:19.0 430:3.0 431:6.0 432:9.0 433:16.0 434:3.0 435:5.0 436:4.0 437:6.0 438:6.0 439:4.0 440:8.0 441:7.0 442:17.0 443:9.0 444:10.0 445:18.0 446:12.0 447:9.0 448:6.0 450:8.0 451:16.0 452:4.0 453:9.0 454:9.0 455:4.0 456:10.0 457:17.0 458:4.0 459:5.0 460:6.0 461:4.0 462:6.0 463:12.0 464:5.0 465:7.0 466:4.0 467:18.0 468:9.0 469:14.0 470:4.0 471:1.0 472:11.0 473:17.0 474:16.0 475:15.0 476:1.0 477:14.0 478:17.0 479:3.0 480:16.0 481:16.0 482:7.0 483:15.0 484:2.0 485:7.0 486:11.0 487:12.0 488:10.0 489:12.0 490:10.0 491:16.0 492:5.0 493:2.0 494:4.0 495:15.0 496:10.0 497:2.0 498:7.0 499:12.0 500:3.0</t>
  </si>
  <si>
    <t>inositol myo-</t>
  </si>
  <si>
    <t>729867</t>
  </si>
  <si>
    <t>305</t>
  </si>
  <si>
    <t>85:3012.0 86:683.0 87:4229.0 88:1173.0 89:2141.0 90:264.0 91:1051.0 92:435.0 93:343.0 94:183.0 95:507.0 96:215.0 97:761.0 98:556.0 99:3253.0 100:554.0 101:7623.0 102:2914.0 103:60634.0 104:6045.0 105:4298.0 106:438.0 107:409.0 108:109.0 109:1687.0 110:201.0 111:3985.0 112:584.0 113:3506.0 114:593.0 115:3832.0 116:5276.0 117:7938.0 118:1288.0 119:4727.0 120:589.0 121:435.0 122:95.0 123:158.0 124:105.0 125:829.0 126:556.0 127:3338.0 128:782.0 129:71317.0 130:8429.0 131:28237.0 132:4292.0 133:58485.0 134:8342.0 135:5278.0 136:545.0 137:345.0 138:132.0 139:666.0 140:305.0 141:1721.0 142:1453.0 143:19765.0 144:2695.0 145:2602.0 146:820.0 147:262204.0 148:40042.0 149:24582.0 150:2788.0 151:1744.0 152:296.0 153:1104.0 154:378.0 155:1658.0 156:1460.0 157:5712.0 158:828.0 159:1778.0 160:341.0 161:4242.0 162:762.0 163:1922.0 164:349.0 165:302.0 166:142.0 167:273.0 168:159.0 169:1402.0 170:327.0 171:438.0 172:193.0 173:1041.0 174:227.0 175:3754.0 176:688.0 177:5653.0 178:936.0 179:650.0 180:167.0 181:816.0 182:195.0 183:396.0 184:139.0 185:759.0 186:227.0 187:535.0 188:202.0 189:10555.0 190:8408.0 191:83824.0 192:15436.0 193:7738.0 194:982.0 195:377.0 196:191.0 197:282.0 198:166.0 199:324.0 200:171.0 201:1018.0 202:304.0 203:3828.0 204:38748.0 205:10736.0 206:3975.0 207:5633.0 208:1291.0 209:733.0 210:162.0 211:233.0 212:88.0 213:300.0 214:121.0 215:2234.0 216:844.0 217:143438.0 218:29397.0 219:13123.0 220:1947.0 221:17708.0 222:4314.0 223:2476.0 224:460.0 225:203.0 226:80.0 227:380.0 228:399.0 229:793.0 230:3397.0 231:2294.0 232:684.0 233:391.0 234:168.0 235:531.0 236:179.0 237:281.0 238:136.0 239:699.0 240:181.0 241:275.0 242:191.0 243:3646.0 244:883.0 245:1105.0 246:361.0 247:264.0 248:150.0 249:371.0 250:168.0 251:169.0 252:112.0 253:125.0 254:109.0 255:770.0 256:241.0 257:449.0 258:181.0 259:139.0 260:95.0 261:122.0 262:94.0 263:268.0 264:239.0 265:21680.0 266:5700.0 267:3025.0 268:562.0 269:245.0 270:232.0 271:819.0 272:263.0 273:138.0 274:85.0 275:185.0 276:104.0 277:478.0 278:716.0 279:498.0 280:189.0 281:103.0 282:49.0 283:18.0 284:48.0 285:32.0 286:35.0 287:60.0 288:59.0 289:325.0 290:281.0 291:10471.0 292:3447.0 293:3513.0 294:916.0 295:355.0 296:80.0 297:44.0 298:20.0 299:29.0 300:45.0 301:123.0 302:119.0 303:493.0 304:2725.0 305:78305.0 306:26312.0 307:12773.0 308:3035.0 309:771.0 310:177.0 311:90.0 312:75.0 313:121.0 314:77.0 315:132.0 316:294.0 317:2170.0 318:42533.0 319:19338.0 320:8439.0 321:2344.0 322:540.0 323:148.0 324:83.0 325:57.0 326:66.0 327:254.0 328:122.0 329:339.0 330:156.0 331:512.0 332:190.0 333:85.0 334:28.0 335:10.0 336:14.0 337:16.0 338:22.0 339:44.0 340:42.0 341:61.0 342:209.0 343:1809.0 344:719.0 345:749.0 346:246.0 347:112.0 348:19.0 351:6.0 352:75.0 353:30.0 354:24.0 355:37.0 356:30.0 357:30.0 358:43.0 359:98.0 360:84.0 361:63.0 362:17.0 363:12.0 364:6.0 365:132.0 366:276.0 367:4474.0 368:2003.0 369:986.0 370:282.0 371:103.0 372:37.0 373:25.0 374:23.0 375:52.0 376:16.0 377:50.0 378:189.0 379:411.0 380:212.0 381:118.0 382:34.0 383:17.0 385:2.0 386:12.0 387:20.0 388:9.0 389:34.0 390:39.0 391:171.0 392:629.0 393:2648.0 394:1377.0 395:604.0 396:202.0 397:60.0 399:3.0 400:2.0 401:7.0 402:12.0 403:25.0 404:73.0 405:174.0 406:320.0 407:283.0 408:156.0 409:67.0 410:23.0 412:13.0 413:2.0 416:30.0 417:374.0 418:310.0 419:874.0 420:522.0 421:234.0 422:89.0 423:29.0 424:11.0 425:9.0 426:12.0 427:21.0 428:3.0 429:6.0 430:22.0 431:616.0 432:5900.0 433:5719.0 434:3199.0 435:1281.0 436:398.0 437:106.0 438:21.0 439:9.0 440:7.0 441:8.0 442:15.0 443:13.0 444:6.0 445:4.0 446:12.0 447:1.0 449:4.0 450:2.0 451:1.0 452:2.0 453:6.0 454:6.0 456:14.0 457:7.0 458:6.0 459:8.0 460:13.0 461:3.0 462:24.0 463:1.0 464:2.0 465:1.0 466:4.0 471:4.0 472:4.0 473:2.0 475:5.0 476:6.0 478:14.0 479:15.0 480:13.0 481:14.0 482:5.0 483:1.0 484:2.0 485:1.0 489:1.0 491:4.0 492:2.0 493:8.0 494:12.0 496:2.0 497:7.0 498:5.0 499:6.0 500:2.0</t>
  </si>
  <si>
    <t>inositol-4-monophosphate</t>
  </si>
  <si>
    <t>845491</t>
  </si>
  <si>
    <t>318</t>
  </si>
  <si>
    <t>85:19.0 87:31.0 88:46.0 89:441.0 90:50.0 91:317.0 92:53.0 93:9.0 94:4.0 95:19.0 97:21.0 98:12.0 99:7.0 100:4.0 101:52.0 102:107.0 103:144.0 104:17.0 105:196.0 106:36.0 107:53.0 108:50.0 109:22.0 110:139.0 111:60.0 112:10.0 114:104.0 115:35.0 116:31.0 117:605.0 118:57.0 119:23.0 121:5.0 122:12.0 123:39.0 124:9.0 125:18.0 126:52.0 127:37.0 128:17.0 130:152.0 131:29.0 132:74.0 133:804.0 134:4.0 135:72.0 136:5.0 137:11.0 138:3.0 139:1.0 140:12.0 141:28.0 142:26.0 143:223.0 144:7.0 147:2049.0 148:2.0 149:163.0 150:42.0 151:27.0 152:30.0 153:34.0 155:66.0 156:77.0 157:26.0 158:22.0 159:49.0 160:353.0 161:84.0 163:113.0 166:7.0 167:7.0 168:14.0 169:61.0 171:82.0 172:16.0 173:102.0 174:15.0 175:46.0 176:5.0 177:49.0 178:17.0 179:2.0 180:18.0 181:30.0 182:18.0 183:9.0 185:22.0 186:53.0 187:5.0 188:4.0 189:299.0 190:63.0 191:1486.0 192:321.0 193:102.0 195:16.0 196:13.0 197:13.0 198:23.0 199:2.0 200:28.0 201:31.0 202:16.0 203:11.0 204:1297.0 205:694.0 206:134.0 207:315.0 208:52.0 209:17.0 210:4.0 211:253.0 212:39.0 213:15.0 214:55.0 215:3.0 216:10.0 217:298.0 218:73.0 219:87.0 220:4.0 221:99.0 222:5.0 223:7.0 225:56.0 226:7.0 227:68.0 228:52.0 229:80.0 230:33.0 231:9.0 232:4.0 233:488.0 234:77.0 235:47.0 236:3.0 237:5.0 238:7.0 239:12.0 240:11.0 241:22.0 242:48.0 243:70.0 244:250.0 245:56.0 246:151.0 247:18.0 249:2.0 252:2.0 253:10.0 254:31.0 255:103.0 256:38.0 257:52.0 260:95.0 261:64.0 262:69.0 263:17.0 265:41.0 266:21.0 267:6.0 268:15.0 269:25.0 270:3.0 271:1.0 272:8.0 273:1.0 274:45.0 275:123.0 276:64.0 277:16.0 280:8.0 283:10.0 284:7.0 285:34.0 286:36.0 287:11.0 288:23.0 290:17.0 291:20.0 292:29.0 293:12.0 295:1.0 298:30.0 299:1366.0 300:563.0 301:252.0 302:12.0 303:9.0 304:10.0 305:409.0 306:129.0 307:166.0 308:42.0 309:7.0 310:2.0 311:2.0 312:10.0 313:61.0 314:34.0 315:936.0 316:193.0 317:183.0 318:1151.0 319:355.0 320:190.0 321:61.0 322:4.0 323:6.0 324:4.0 325:9.0 326:8.0 327:17.0 328:1.0 329:6.0 330:4.0 331:21.0 332:27.0 333:7.0 334:11.0 335:5.0 339:3.0 341:7.0 342:27.0 343:82.0 344:38.0 345:56.0 346:22.0 349:3.0 350:10.0 351:17.0 353:7.0 356:10.0 357:7.0 358:9.0 359:26.0 360:22.0 361:2.0 364:14.0 365:1.0 366:6.0 368:5.0 369:4.0 371:2.0 373:46.0 374:10.0 375:11.0 376:74.0 377:25.0 378:1.0 379:5.0 382:4.0 384:2.0 386:39.0 387:374.0 388:154.0 389:239.0 390:110.0 391:57.0 392:18.0 393:3.0 394:4.0 396:5.0 397:1.0 399:4.0 401:10.0 402:5.0 403:5.0 404:26.0 405:6.0 406:23.0 407:12.0 410:4.0 413:1.0 416:14.0 417:27.0 419:31.0 420:4.0 421:5.0 423:5.0 424:7.0 425:7.0 426:4.0 427:2.0 428:9.0 429:26.0 430:19.0 431:7.0 432:40.0 433:43.0 434:24.0 435:5.0 436:14.0 438:4.0 439:1.0 441:2.0 443:5.0 445:4.0 446:1.0 447:3.0 448:5.0 450:8.0 451:3.0 452:3.0 456:3.0 457:17.0 458:8.0 459:6.0 460:3.0 461:6.0 462:2.0 463:2.0 464:14.0 465:28.0 467:3.0 468:2.0 470:33.0 471:7.0 477:12.0 480:1.0 485:6.0 487:6.0 488:1.0 492:16.0 493:15.0</t>
  </si>
  <si>
    <t>inosine</t>
  </si>
  <si>
    <t>897806</t>
  </si>
  <si>
    <t>85:426.0 86:163.0 87:187.0 88:66.0 89:515.0 90:30.0 91:387.0 92:60.0 93:224.0 94:76.0 95:145.0 96:52.0 97:260.0 98:95.0 99:329.0 100:185.0 101:792.0 102:143.0 103:4633.0 104:459.0 105:402.0 106:119.0 107:85.0 108:106.0 109:45.0 110:311.0 111:379.0 112:73.0 113:316.0 114:66.0 115:752.0 116:407.0 117:1128.0 118:144.0 119:328.0 120:63.0 121:27.0 122:14.0 123:54.0 124:86.0 125:84.0 126:56.0 127:160.0 128:53.0 129:1483.0 130:203.0 131:813.0 132:166.0 133:1354.0 134:186.0 135:114.0 136:18.0 137:32.0 138:227.0 139:85.0 140:71.0 141:131.0 142:141.0 143:652.0 144:111.0 145:285.0 146:97.0 147:3495.0 148:570.0 149:502.0 150:99.0 151:51.0 152:53.0 153:127.0 154:24.0 155:67.0 156:61.0 157:223.0 158:82.0 159:90.0 160:13.0 161:24.0 162:51.0 163:92.0 164:59.0 165:87.0 166:295.0 167:69.0 168:46.0 169:680.0 170:124.0 171:129.0 172:39.0 173:54.0 174:18.0 175:47.0 176:13.0 177:123.0 178:44.0 179:47.0 180:65.0 181:49.0 182:8.0 183:22.0 184:21.0 185:12.0 186:10.0 187:18.0 188:7.0 189:292.0 190:52.0 191:196.0 192:104.0 193:2293.0 194:296.0 195:86.0 196:11.0 197:3.0 198:14.0 199:13.0 200:4.0 201:26.0 203:35.0 204:80.0 205:86.0 206:88.0 207:522.0 208:208.0 209:857.0 210:122.0 211:31.0 212:12.0 213:4.0 214:2.0 215:154.0 216:40.0 217:4562.0 218:889.0 219:446.0 220:72.0 221:78.0 222:36.0 223:28.0 224:11.0 225:14.0 226:3.0 227:1.0 229:74.0 230:3231.0 231:761.0 232:280.0 233:76.0 234:32.0 235:76.0 236:27.0 237:1302.0 238:207.0 239:51.0 240:4.0 241:8.0 242:8.0 243:966.0 244:235.0 245:2372.0 246:463.0 247:226.0 248:76.0 249:30.0 250:10.0 251:16.0 252:9.0 253:4.0 255:4.0 256:3.0 257:75.0 258:207.0 259:1220.0 260:263.0 261:116.0 262:26.0 263:21.0 264:9.0 265:234.0 266:58.0 267:49.0 268:18.0 269:2.0 270:2.0 272:2.0 273:4.0 274:14.0 275:14.0 276:3.0 277:4.0 278:15.0 279:84.0 280:344.0 281:1391.0 282:329.0 283:115.0 284:15.0 285:4.0 286:5.0 287:15.0 288:4.0 289:4.0 291:44.0 292:6.0 293:10.0 294:1.0 295:10.0 296:3.0 297:4.0 298:6.0 299:2.0 300:5.0 303:5.0 304:11.0 305:8.0 306:4.0 307:298.0 308:76.0 309:97.0 310:35.0 311:19.0 312:8.0 313:9.0 315:2.0 316:8.0 317:6.0 318:14.0 319:21.0 320:38.0 321:32.0 322:36.0 323:217.0 324:59.0 325:14.0 326:3.0 329:5.0 330:4.0 332:6.0 333:27.0 334:3.0 335:96.0 336:19.0 337:17.0 338:35.0 339:47.0 340:9.0 341:7.0 342:3.0 344:8.0 346:1.0 347:17.0 348:197.0 349:75.0 350:40.0 351:10.0 353:1.0 355:1.0 356:9.0 357:2.0 358:6.0 360:1.0 361:6.0 362:3.0 363:54.0 364:14.0 365:4.0 366:2.0 367:2.0 368:1.0 371:2.0 373:5.0 375:10.0 376:9.0 377:28.0 378:8.0 379:7.0 380:2.0 381:6.0 382:6.0 383:1.0 384:5.0 385:6.0 387:6.0 388:5.0 390:1.0 392:2.0 393:8.0 394:6.0 395:75.0 396:36.0 397:8.0 398:10.0 399:1.0 400:1.0 402:6.0 404:8.0 405:1.0 406:3.0 408:9.0 409:5.0 410:4.0 411:2.0 412:7.0 414:5.0 416:1.0 417:3.0 418:1.0 419:8.0 420:7.0 421:6.0 422:13.0 423:3.0 425:16.0 426:7.0 427:5.0 428:1.0 430:3.0 433:8.0 436:4.0 437:5.0 438:6.0 439:6.0 440:7.0 442:2.0 443:1.0 444:1.0 445:10.0 446:1.0 447:1.0 450:1.0 451:6.0 452:10.0 453:46.0 454:23.0 455:3.0 456:3.0 457:4.0 458:5.0 460:5.0 461:7.0 462:1.0 463:6.0 465:4.0 466:24.0 467:5.0 468:1.0 469:2.0 470:4.0 472:1.0 473:1.0 475:1.0 476:2.0 477:12.0 478:5.0 483:4.0 484:5.0 485:3.0 486:3.0 487:2.0 488:6.0 490:1.0 491:1.0 492:5.0 493:2.0 494:3.0 497:4.0 499:5.0 500:1.0</t>
  </si>
  <si>
    <t>idonic acid NIST</t>
  </si>
  <si>
    <t>698217</t>
  </si>
  <si>
    <t>85:229.0 86:19.0 87:54.0 88:15.0 89:324.0 90:30.0 91:24.0 92:30.0 93:5.0 95:6.0 97:36.0 99:94.0 100:15.0 101:246.0 102:312.0 103:2782.0 104:221.0 105:111.0 106:12.0 107:2.0 110:1.0 111:12.0 112:3.0 113:71.0 114:10.0 115:80.0 116:34.0 117:1422.0 118:80.0 119:79.0 120:4.0 121:2.0 122:1.0 124:3.0 127:32.0 129:995.0 130:339.0 131:539.0 132:65.0 133:984.0 134:102.0 135:27.0 136:6.0 139:8.0 140:4.0 141:44.0 142:3.0 143:562.0 144:60.0 145:40.0 146:6.0 147:5776.0 148:820.0 149:575.0 150:38.0 151:26.0 153:14.0 154:3.0 155:12.0 156:1.0 157:420.0 158:30.0 159:27.0 161:25.0 162:5.0 163:11.0 165:2.0 166:2.0 167:2.0 169:92.0 171:107.0 172:8.0 173:20.0 175:86.0 176:1.0 177:19.0 178:3.0 183:1.0 184:6.0 186:1.0 187:4.0 189:708.0 190:162.0 191:351.0 192:47.0 193:25.0 196:2.0 197:37.0 199:2.0 201:13.0 203:26.0 204:485.0 205:1250.0 206:229.0 207:238.0 208:16.0 209:12.0 212:1.0 214:1.0 215:25.0 216:11.0 217:1564.0 218:278.0 219:240.0 220:72.0 221:236.0 222:31.0 223:18.0 224:7.0 226:1.0 227:2.0 228:6.0 229:109.0 230:17.0 231:41.0 232:8.0 233:8.0 234:1.0 238:7.0 239:4.0 241:6.0 243:29.0 244:5.0 245:76.0 246:14.0 247:9.0 248:7.0 250:3.0 256:2.0 257:5.0 258:1.0 259:18.0 261:6.0 262:8.0 263:6.0 264:2.0 265:6.0 266:1.0 269:9.0 271:8.0 273:4.0 274:1.0 275:3.0 276:7.0 277:213.0 278:64.0 279:33.0 280:9.0 281:5.0 282:3.0 285:3.0 286:2.0 289:1.0 290:6.0 291:108.0 292:894.0 293:280.0 294:126.0 295:7.0 298:4.0 299:3.0 304:6.0 305:512.0 306:174.0 307:179.0 308:32.0 309:13.0 311:3.0 312:1.0 315:12.0 316:1.0 318:6.0 319:522.0 320:186.0 321:120.0 322:28.0 323:1.0 324:6.0 326:8.0 327:4.0 328:5.0 331:32.0 332:46.0 333:769.0 334:264.0 335:135.0 336:29.0 337:10.0 340:2.0 343:7.0 345:48.0 346:15.0 351:2.0 352:3.0 354:9.0 359:132.0 360:54.0 361:21.0 363:1.0 366:2.0 369:1.0 371:2.0 374:2.0 378:1.0 379:8.0 380:2.0 383:1.0 385:1.0 390:8.0 391:11.0 394:7.0 396:1.0 400:4.0 404:2.0 405:16.0 406:6.0 407:9.0 408:18.0 409:1.0 418:2.0 419:1.0 422:2.0 423:41.0 424:20.0 425:11.0 428:1.0 430:3.0 432:11.0 433:65.0 434:46.0 435:56.0 436:32.0 437:7.0 438:2.0 439:2.0 443:3.0 446:3.0 448:2.0 449:6.0 450:2.0 452:1.0 453:2.0 455:2.0 457:1.0 459:10.0 464:1.0 476:2.0 479:2.0 482:4.0 483:1.0 484:1.0 491:4.0 493:1.0 495:6.0 497:3.0 498:3.0</t>
  </si>
  <si>
    <t>hydroxylamine</t>
  </si>
  <si>
    <t>255769</t>
  </si>
  <si>
    <t>86:6104.0 87:2301.0 88:1283.0 89:429.0 90:45.0 91:133.0 95:123.0 97:603.0 98:23.0 99:336.0 100:3906.0 101:603.0 102:1282.0 103:592.0 104:219.0 105:156.0 107:2.0 108:5.0 110:197.0 113:942.0 114:789.0 115:611.0 116:879.0 117:1173.0 118:588.0 119:9932.0 120:1132.0 121:707.0 123:25.0 128:13.0 130:4139.0 131:2134.0 132:1553.0 133:12847.0 134:2272.0 135:710.0 136:69.0 141:395.0 143:201.0 144:89.0 146:8895.0 147:5752.0 148:1233.0 149:40.0 150:15.0 158:134.0 160:499.0 161:787.0 162:181.0 171:96.0 172:29.0 174:60.0 176:23.0 177:57.0 187:36.0 188:149.0 189:21.0 190:33.0 204:180.0 205:357.0 206:34.0 229:14.0 231:901.0 232:107.0 233:39.0 234:19.0 235:9.0 249:2116.0 250:566.0 251:240.0 252:12.0 301:9.0 305:10.0 316:28.0 353:7.0 364:4.0 377:3.0 388:10.0 411:12.0 417:2.0 431:5.0 481:6.0</t>
  </si>
  <si>
    <t>homoserine</t>
  </si>
  <si>
    <t>444244</t>
  </si>
  <si>
    <t>85:2287.0 86:4393.0 87:4016.0 88:1914.0 89:1481.0 90:242.0 91:98.0 92:110.0 95:30.0 96:130.0 97:389.0 98:4977.0 99:1432.0 100:30362.0 101:8893.0 102:13565.0 103:78115.0 104:7992.0 105:4535.0 106:237.0 107:460.0 108:144.0 110:717.0 111:8.0 112:2268.0 113:1014.0 114:4637.0 115:3123.0 116:2284.0 117:4955.0 118:1435.0 119:2239.0 120:288.0 121:82.0 123:30.0 124:6.0 126:1085.0 127:234.0 128:94332.0 129:13378.0 130:15012.0 131:13570.0 132:7483.0 133:15438.0 134:2829.0 135:1300.0 136:147.0 140:483.0 141:82.0 142:1074.0 143:542.0 144:1659.0 145:373.0 146:3125.0 147:33023.0 148:6568.0 149:6969.0 150:830.0 151:320.0 153:17.0 154:22.0 156:1079.0 157:676.0 158:2364.0 159:674.0 160:598.0 161:291.0 162:191.0 163:315.0 164:65.0 165:8.0 166:33.0 168:10.0 170:367.0 171:151.0 172:1880.0 173:528.0 174:4643.0 175:1267.0 176:1105.0 177:1221.0 178:266.0 182:40.0 184:123.0 185:238.0 186:393.0 187:118.0 188:1566.0 189:246.0 190:419.0 191:620.0 192:145.0 193:61.0 194:8.0 199:36.0 200:363.0 201:145.0 202:7788.0 203:1832.0 204:1338.0 205:267.0 206:32.0 210:161.0 213:23.0 214:175.0 215:71.0 216:2102.0 217:1074.0 218:96636.0 219:21328.0 220:8750.0 221:1637.0 222:325.0 223:51.0 228:19.0 229:59.0 230:5067.0 231:1034.0 232:2064.0 233:307.0 234:131.0 235:5.0 236:25.0 238:5.0 244:43.0 245:230.0 246:342.0 247:331.0 248:128.0 249:19.0 257:146.0 262:35.0 267:2.0 272:99.0 276:55.0 281:46.0 290:193.0 291:96.0 292:3330.0 293:970.0 294:476.0 295:67.0 296:48.0 299:11.0 308:10.0 319:1.0 320:1053.0 321:239.0 322:204.0 335:330.0 336:133.0 337:18.0 372:2.0 374:2.0 393:1.0 396:7.0 490:12.0</t>
  </si>
  <si>
    <t>hexuronic acid</t>
  </si>
  <si>
    <t>680828</t>
  </si>
  <si>
    <t>85:5455.0 86:329.0 87:1385.0 88:4.0 89:1028.0 95:230.0 97:848.0 99:2025.0 101:42.0 102:587.0 103:6030.0 104:380.0 108:335.0 110:395.0 113:1388.0 114:878.0 117:2233.0 118:19.0 123:98.0 124:25.0 127:325.0 128:419.0 129:2870.0 130:652.0 131:346.0 132:61.0 133:1748.0 140:36.0 143:1098.0 145:47.0 147:9983.0 148:1086.0 149:518.0 150:310.0 151:142.0 152:75.0 153:95.0 154:350.0 155:313.0 157:843.0 159:46.0 161:37.0 166:51.0 169:106.0 171:257.0 172:335.0 173:22.0 174:181.0 184:277.0 185:127.0 186:13.0 189:1063.0 190:136.0 205:1715.0 206:69.0 210:62.0 215:131.0 216:198.0 217:3830.0 218:844.0 219:531.0 220:165.0 221:530.0 222:60.0 229:312.0 230:122.0 231:1106.0 232:302.0 239:8.0 240:29.0 243:115.0 245:101.0 246:191.0 250:14.0 254:1.0 257:33.0 271:25.0 273:2.0 277:252.0 278:117.0 279:81.0 285:157.0 287:22.0 288:93.0 289:9.0 291:20.0 292:2340.0 293:482.0 294:160.0 295:64.0 299:258.0 300:117.0 305:970.0 306:254.0 307:316.0 308:51.0 309:7.0 310:2.0 317:6.0 318:68.0 319:1005.0 320:242.0 321:85.0 323:2.0 331:93.0 332:35.0 333:2976.0 334:896.0 335:407.0 336:4.0 338:3.0 345:25.0 359:317.0 360:73.0 369:9.0 373:32.0 374:10.0 393:43.0 394:2.0 412:27.0 415:25.0 416:1.0 423:158.0 424:91.0 425:8.0 433:267.0 434:61.0 435:144.0 436:63.0 439:3.0</t>
  </si>
  <si>
    <t>glycolic acid</t>
  </si>
  <si>
    <t>227487</t>
  </si>
  <si>
    <t>87:86.0 88:302.0 89:143.0 90:3.0 91:318.0 92:406.0 95:243.0 97:12.0 99:2.0 100:91.0 101:2.0 102:60.0 103:275.0 104:34.0 106:32.0 107:9.0 111:380.0 113:1.0 115:112.0 117:275.0 118:40.0 119:57.0 121:4.0 124:1.0 125:2.0 131:339.0 132:14.0 133:702.0 147:7173.0 148:1214.0 149:760.0 150:48.0 154:3.0 161:325.0 162:14.0 171:7.0 177:1137.0 178:133.0 179:43.0 184:6.0 187:1.0 205:452.0 206:32.0 213:1.0 222:1.0 231:1.0 232:1.0 258:1.0 259:10.0 261:1.0 268:4.0 271:1.0 278:2.0 284:1.0 301:1.0 307:1.0 370:1.0 391:1.0 399:3.0 405:1.0 409:2.0 418:1.0 446:1.0 451:1.0 459:5.0 461:2.0 480:1.0</t>
  </si>
  <si>
    <t>102</t>
  </si>
  <si>
    <t>glycine</t>
  </si>
  <si>
    <t>364262</t>
  </si>
  <si>
    <t>85:106.0 86:18631.0 87:1854.0 88:801.0 91:1.0 92:57.0 99:116.0 100:9522.0 101:1976.0 102:1247.0 104:2.0 105:236.0 106:36.0 107:610.0 110:120.0 111:82.0 113:277.0 114:297.0 115:275.0 116:491.0 117:2457.0 118:465.0 119:450.0 120:26.0 122:5.0 124:68.0 125:11.0 126:17.0 128:20.0 130:1457.0 131:1822.0 132:284.0 133:4927.0 134:1013.0 135:166.0 136:1.0 138:14.0 139:7.0 140:108.0 144:608.0 145:55.0 146:182.0 147:10960.0 148:1130.0 149:519.0 150:36.0 159:62.0 160:475.0 161:17.0 165:22.0 171:20.0 172:266.0 173:114.0 174:33629.0 175:6047.0 176:2496.0 177:536.0 178:56.0 179:36.0 181:10.0 184:78.0 185:99.0 188:400.0 189:27.0 190:8.0 199:91.0 202:122.0 204:134.0 211:30.0 213:11.0 216:12.0 245:46.0 246:375.0 247:38.0 248:4697.0 249:1343.0 250:567.0 251:78.0 276:1060.0 277:244.0 278:80.0 279:9.0 301:41.0 314:50.0 316:41.0 325:43.0 328:14.0 342:13.0 410:3.0 421:13.0 486:4.0 496:5.0</t>
  </si>
  <si>
    <t>glycerol-beta-phosphate</t>
  </si>
  <si>
    <t>571748</t>
  </si>
  <si>
    <t>243</t>
  </si>
  <si>
    <t>85:789.0 86:343.0 87:465.0 99:680.0 100:891.0 101:4551.0 102:585.0 103:2704.0 104:121.0 108:26.0 112:90.0 113:822.0 114:512.0 115:737.0 116:169.0 119:260.0 124:298.0 126:4.0 127:232.0 128:890.0 129:5883.0 130:977.0 131:2485.0 132:96.0 133:3352.0 134:732.0 135:396.0 136:81.0 137:249.0 139:226.0 140:74.0 142:107.0 146:1.0 147:6743.0 148:1143.0 149:653.0 150:37.0 151:268.0 152:138.0 153:250.0 155:502.0 156:711.0 158:16.0 163:234.0 165:190.0 166:158.0 167:146.0 171:86.0 173:23.0 174:158.0 179:105.0 180:239.0 181:737.0 183:294.0 184:137.0 186:15.0 188:191.0 191:1228.0 192:219.0 193:861.0 194:114.0 195:655.0 196:72.0 197:672.0 200:147.0 203:1117.0 207:1168.0 208:114.0 209:64.0 210:108.0 211:9515.0 212:1544.0 213:811.0 214:199.0 216:99.0 218:503.0 219:35.0 220:57.0 224:1.0 225:483.0 226:79.0 227:2164.0 228:447.0 229:264.0 230:30.0 235:8.0 236:9.0 237:51.0 239:26.0 241:141.0 242:36.0 243:10998.0 244:1899.0 245:908.0 246:94.0 251:20.0 253:100.0 254:32.0 255:90.0 256:87.0 257:182.0 258:129.0 268:11.0 269:310.0 270:43.0 271:45.0 272:5.0 273:69.0 274:2.0 275:8.0 283:103.0 284:67.0 285:1030.0 286:175.0 287:93.0 288:1.0 289:38.0 290:1.0 297:47.0 298:142.0 299:7521.0 300:1771.0 301:1038.0 302:180.0 303:59.0 304:308.0 305:153.0 306:50.0 310:4.0 313:136.0 314:92.0 315:1322.0 316:278.0 317:275.0 318:48.0 320:42.0 322:13.0 327:153.0 328:60.0 329:57.0 330:2.0 331:17.0 337:23.0 339:9.0 340:44.0 341:109.0 342:91.0 343:21.0 344:14.0 345:4.0 346:18.0 348:9.0 351:31.0 355:14.0 356:14.0 357:432.0 358:113.0 359:47.0 361:28.0 364:1.0 366:10.0 368:2.0 369:32.0 370:32.0 372:42.0 373:464.0 374:249.0 375:108.0 376:27.0 377:12.0 385:6.0 386:4.0 387:132.0 388:44.0 389:840.0 390:301.0 391:202.0 392:22.0 393:19.0 400:3.0 408:6.0 415:121.0 416:1.0 419:17.0 429:2.0 430:46.0 431:6.0 433:14.0 436:22.0 438:9.0 441:5.0 444:28.0 445:545.0 446:195.0 447:88.0 448:12.0 455:5.0 459:1.0 468:4.0 470:4.0 489:21.0 494:1.0</t>
  </si>
  <si>
    <t>glycerol-alpha-phosphate</t>
  </si>
  <si>
    <t>591357</t>
  </si>
  <si>
    <t>86:22.0 87:270.0 88:110.0 89:3183.0 90:182.0 94:18.0 96:23.0 98:14.0 99:83.0 100:94.0 101:5380.0 102:534.0 103:3676.0 104:328.0 105:126.0 107:12.0 109:25.0 110:100.0 112:37.0 113:573.0 114:120.0 115:730.0 116:1500.0 117:1052.0 118:144.0 119:293.0 120:18.0 121:146.0 122:11.0 123:38.0 124:7.0 126:52.0 128:42.0 129:1883.0 130:419.0 131:1900.0 132:258.0 133:4573.0 134:671.0 135:824.0 136:113.0 137:223.0 138:39.0 140:55.0 141:7.0 142:63.0 143:29.0 144:128.0 145:120.0 146:13.0 147:3712.0 148:771.0 149:675.0 150:65.0 151:190.0 152:12.0 153:69.0 155:29.0 156:71.0 158:6.0 159:66.0 160:9.0 161:205.0 162:18.0 163:234.0 164:13.0 165:81.0 167:66.0 168:22.0 170:39.0 172:207.0 173:48.0 174:63.0 175:28.0 176:15.0 177:112.0 178:17.0 179:74.0 180:11.0 181:263.0 182:46.0 183:85.0 184:96.0 185:2.0 186:39.0 188:56.0 189:83.0 191:460.0 192:74.0 193:356.0 194:56.0 195:287.0 196:50.0 197:124.0 198:39.0 200:57.0 201:120.0 202:18.0 203:203.0 204:71.0 205:149.0 207:626.0 208:116.0 209:83.0 210:40.0 211:1830.0 212:266.0 213:143.0 214:143.0 215:9.0 216:35.0 217:2.0 218:379.0 219:201.0 220:47.0 221:4.0 222:3.0 223:4.0 225:365.0 226:140.0 227:310.0 228:168.0 229:130.0 230:13.0 235:18.0 237:16.0 238:5.0 241:318.0 242:65.0 243:195.0 244:247.0 245:38.0 246:9.0 247:31.0 249:133.0 250:12.0 252:1.0 253:57.0 254:8.0 255:53.0 256:359.0 257:59.0 258:34.0 260:7.0 262:2.0 267:1.0 269:68.0 270:18.0 271:20.0 272:46.0 273:7.0 274:2.0 275:4.0 283:79.0 284:28.0 285:304.0 286:75.0 287:46.0 288:4.0 289:1.0 291:3.0 293:14.0 294:2.0 297:4.0 298:150.0 299:3909.0 300:999.0 301:486.0 303:11.0 304:16.0 305:1.0 308:6.0 309:6.0 310:4.0 311:8.0 313:60.0 314:172.0 315:837.0 316:254.0 317:118.0 318:26.0 319:7.0 322:1.0 323:2.0 324:3.0 325:7.0 326:4.0 327:24.0 328:202.0 329:61.0 331:17.0 333:2.0 334:10.0 336:9.0 337:16.0 340:6.0 341:239.0 342:100.0 343:61.0 344:15.0 347:8.0 348:10.0 351:19.0 352:6.0 353:7.0 355:1.0 356:125.0 357:2381.0 358:711.0 359:344.0 360:90.0 361:11.0 367:2.0 368:2.0 369:10.0 370:335.0 371:116.0 372:50.0 373:176.0 374:53.0 375:25.0 378:1.0 379:1.0 381:5.0 383:5.0 385:2.0 387:234.0 388:113.0 389:123.0 390:34.0 391:17.0 396:1.0 402:4.0 405:1.0 408:3.0 410:4.0 411:1.0 413:2.0 414:1.0 415:20.0 416:5.0 417:10.0 418:3.0 419:1.0 423:1.0 424:4.0 429:5.0 430:3.0 432:10.0 433:1.0 436:3.0 437:6.0 438:2.0 440:6.0 442:4.0 444:23.0 445:300.0 446:182.0 447:70.0 448:22.0 449:2.0 450:2.0 459:2.0 461:2.0 463:2.0 468:3.0 469:2.0 470:2.0 471:4.0 473:6.0 475:9.0 480:3.0 481:6.0 482:6.0 484:1.0 486:1.0 493:1.0 494:3.0 495:1.0 498:2.0</t>
  </si>
  <si>
    <t>189</t>
  </si>
  <si>
    <t>glutathione</t>
  </si>
  <si>
    <t>761040</t>
  </si>
  <si>
    <t>213</t>
  </si>
  <si>
    <t>85:6.0 86:33.0 88:4.0 89:1.0 93:10.0 94:13.0 95:925.0 96:86.0 97:18.0 98:19.0 99:46.0 100:47.0 103:17.0 105:3.0 107:1148.0 108:139.0 109:77.0 110:8.0 111:5.0 114:4.0 116:43.0 117:42.0 119:3.0 121:3.0 122:12.0 123:16.0 124:7.0 128:4.0 129:139.0 130:16.0 133:23.0 135:258.0 136:62.0 138:1.0 139:2.0 140:5.0 141:1.0 142:29.0 143:99.0 144:15.0 145:35.0 146:3.0 147:29.0 148:66.0 149:24.0 150:1.0 152:3.0 156:8.0 157:3.0 158:1.0 164:179.0 165:3.0 166:1.0 169:6.0 172:5.0 180:3.0 184:2.0 185:11.0 191:11.0 192:87.0 197:28.0 203:9.0 205:1.0 209:1.0 210:2.0 212:9.0 213:1368.0 214:160.0 215:34.0 225:32.0 237:4.0 238:1.0 239:3.0 242:7.0 244:5.0 253:13.0 255:30.0 263:3.0 266:4.0 268:1.0 270:4.0 278:2.0 282:602.0 283:106.0 284:9.0 290:3.0 301:3.0 302:1.0 314:1.0 324:3.0 332:1.0 334:1.0 338:2.0 340:1.0 346:3.0 356:2.0 360:1.0 361:2.0 375:1.0 384:40.0 386:1.0 387:24.0 388:5.0 392:3.0 395:3.0 397:1.0 405:2.0 406:7.0 407:1.0 413:4.0 420:1.0 422:7.0 434:1.0 441:3.0 449:1.0 457:2.0 458:3.0 466:1.0 477:9.0 478:2.0 492:4.0 495:3.0 498:5.0</t>
  </si>
  <si>
    <t>155</t>
  </si>
  <si>
    <t>227</t>
  </si>
  <si>
    <t>glutamine</t>
  </si>
  <si>
    <t>600028</t>
  </si>
  <si>
    <t>85:174.0 86:47.0 87:16.0 88:28.0 89:94.0 90:24.0 91:6941.0 92:3657.0 93:370.0 99:39.0 100:165.0 101:76.0 102:124.0 103:1031.0 104:73.0 105:26.0 106:1.0 107:96.0 108:6.0 111:3.0 112:3.0 113:38.0 114:80.0 115:136.0 116:63.0 117:1194.0 118:118.0 119:54.0 120:1.0 126:127.0 127:203.0 128:97.0 129:137.0 130:164.0 131:290.0 132:57.0 133:240.0 134:205.0 135:1.0 139:49.0 140:32.0 141:3.0 142:3.0 143:114.0 144:5.0 145:22.0 146:2.0 147:1441.0 148:312.0 149:136.0 150:8.0 151:4.0 154:7.0 155:402.0 156:1231.0 157:212.0 158:40.0 161:3.0 163:1.0 164:1.0 169:2.0 170:1.0 173:1.0 177:4.0 184:25.0 185:5.0 189:146.0 191:46.0 192:4.0 193:2.0 195:1.0 198:2.0 201:1.0 203:53.0 204:71.0 205:109.0 206:24.0 207:8.0 208:3.0 214:3.0 216:4.0 217:179.0 218:30.0 219:50.0 220:10.0 221:21.0 222:3.0 223:1.0 227:5.0 229:28.0 230:3.0 231:25.0 232:7.0 233:2.0 238:1.0 243:1.0 244:9.0 245:86.0 247:3.0 258:1.0 259:2.0 277:28.0 292:190.0 293:39.0 305:61.0 306:11.0 307:23.0 309:1.0 318:1.0 321:1.0 329:3.0 331:1.0 333:6.0 355:1.0 437:2.0 462:6.0</t>
  </si>
  <si>
    <t>glutamic acid</t>
  </si>
  <si>
    <t>527101</t>
  </si>
  <si>
    <t>246</t>
  </si>
  <si>
    <t>85:357.0 86:526.0 87:203.0 88:137.0 91:2.0 95:16.0 96:64.0 98:361.0 99:127.0 100:1856.0 101:834.0 102:139.0 106:42.0 110:308.0 112:138.0 113:259.0 114:407.0 115:392.0 116:128.0 117:786.0 119:204.0 126:14.0 128:6367.0 129:1190.0 130:1088.0 131:692.0 132:559.0 133:968.0 134:416.0 135:125.0 139:47.0 140:569.0 141:18.0 142:90.0 143:123.0 144:284.0 147:4706.0 148:711.0 149:648.0 150:2.0 151:28.0 156:3653.0 157:609.0 158:785.0 159:234.0 160:51.0 170:1.0 172:69.0 174:335.0 175:55.0 181:1.0 184:88.0 185:15.0 186:44.0 187:23.0 188:8.0 189:88.0 190:25.0 198:18.0 199:10.0 201:10.0 202:133.0 203:67.0 204:2009.0 205:182.0 206:132.0 212:1.0 214:85.0 215:7.0 216:42.0 217:24.0 218:396.0 219:124.0 230:1456.0 231:287.0 232:181.0 233:21.0 235:13.0 241:2.0 245:604.0 246:7193.0 247:1587.0 248:658.0 258:124.0 259:20.0 260:28.0 262:1001.0 263:210.0 264:100.0 274:50.0 288:6.0 291:28.0 292:10.0 294:6.0 300:2.0 305:12.0 322:6.0 332:22.0 333:43.0 334:15.0 348:236.0 349:49.0 350:55.0 363:155.0 380:2.0 426:6.0 431:3.0 437:1.0 497:9.0 498:2.0</t>
  </si>
  <si>
    <t>806065</t>
  </si>
  <si>
    <t>85:160.0 86:198.0 87:108.0 89:1046.0 90:70.0 91:90.0 92:79.0 95:9.0 96:7.0 97:22.0 98:11.0 99:94.0 100:203.0 101:1116.0 102:278.0 103:334.0 104:25.0 105:634.0 106:80.0 107:55.0 109:1.0 110:19.0 111:33.0 112:43.0 113:112.0 114:249.0 115:222.0 116:363.0 117:217.0 118:24.0 119:85.0 121:18.0 124:26.0 127:149.0 128:72.0 129:1798.0 130:438.0 131:854.0 132:120.0 133:1247.0 134:153.0 135:177.0 136:4.0 137:31.0 138:37.0 140:4.0 141:42.0 142:35.0 143:214.0 144:21.0 145:93.0 146:10.0 147:2647.0 148:328.0 149:360.0 150:20.0 151:85.0 152:6.0 153:20.0 154:11.0 155:14.0 156:12.0 157:819.0 158:164.0 159:51.0 160:1903.0 161:393.0 162:72.0 163:93.0 165:11.0 168:11.0 169:82.0 170:23.0 171:14.0 172:15.0 173:7.0 175:20.0 177:1.0 179:5.0 181:78.0 182:6.0 183:11.0 184:3.0 186:38.0 187:8.0 189:165.0 190:27.0 191:212.0 192:21.0 193:116.0 194:7.0 195:87.0 196:35.0 197:17.0 198:9.0 199:11.0 200:8.0 203:28.0 204:185.0 205:67.0 206:5.0 207:220.0 208:36.0 209:32.0 210:47.0 211:532.0 212:116.0 213:44.0 215:34.0 216:75.0 217:293.0 218:72.0 219:31.0 221:24.0 222:5.0 223:5.0 225:156.0 226:21.0 227:89.0 228:75.0 229:68.0 230:42.0 231:100.0 232:21.0 234:9.0 238:3.0 239:4.0 241:12.0 242:1.0 243:73.0 244:6.0 245:1.0 246:15.0 247:294.0 248:69.0 249:14.0 250:1.0 253:43.0 254:13.0 256:1.0 259:13.0 267:8.0 268:4.0 269:37.0 270:9.0 272:2.0 274:40.0 275:10.0 276:5.0 278:1.0 279:2.0 280:2.0 283:46.0 284:7.0 285:41.0 286:10.0 289:4.0 291:24.0 292:2.0 293:2.0 296:4.0 298:35.0 299:1537.0 300:391.0 301:181.0 302:51.0 303:5.0 304:3.0 305:22.0 306:5.0 311:4.0 312:1.0 313:12.0 314:60.0 317:6.0 318:1.0 319:23.0 320:7.0 321:5.0 322:6.0 327:2.0 328:3.0 331:223.0 332:67.0 333:29.0 334:1.0 335:3.0 336:2.0 341:64.0 342:20.0 343:9.0 347:1.0 350:1.0 352:1.0 353:2.0 356:15.0 357:588.0 358:171.0 359:76.0 360:1.0 364:10.0 365:5.0 366:5.0 367:2.0 370:4.0 371:11.0 372:5.0 373:24.0 375:2.0 377:3.0 378:2.0 381:1.0 383:3.0 384:2.0 385:4.0 386:180.0 387:2220.0 388:920.0 389:469.0 390:130.0 391:52.0 393:4.0 394:3.0 399:1.0 408:5.0 412:1.0 414:1.0 415:1.0 416:2.0 418:1.0 421:1.0 428:1.0 430:1.0 432:2.0 436:2.0 438:1.0 441:1.0 443:3.0 444:1.0 445:2.0 457:1.0 464:5.0 465:1.0 470:7.0 471:185.0 472:104.0 473:56.0 474:14.0 476:2.0 491:1.0 494:3.0</t>
  </si>
  <si>
    <t>650726</t>
  </si>
  <si>
    <t>85:3389.0 86:4354.0 87:4281.0 88:3036.0 89:39786.0 90:3547.0 91:1939.0 92:284.0 93:195.0 94:338.0 95:583.0 96:507.0 97:1525.0 98:1052.0 99:3423.0 100:8456.0 101:12206.0 102:6586.0 103:75440.0 104:7606.0 105:20049.0 106:2177.0 107:1066.0 108:364.0 109:257.0 110:782.0 111:1536.0 112:1318.0 113:2651.0 114:8185.0 115:5616.0 116:4264.0 117:55860.0 118:6063.0 119:5805.0 120:558.0 121:295.0 122:89.0 123:92.0 124:179.0 125:327.0 126:1054.0 127:2168.0 128:2354.0 129:60855.0 130:11918.0 131:16978.0 132:3005.0 133:36602.0 134:4930.0 135:3121.0 136:334.0 137:128.0 138:292.0 139:260.0 140:555.0 141:1131.0 142:2687.0 143:7825.0 144:1413.0 145:3860.0 146:912.0 147:158611.0 148:25141.0 149:16022.0 150:1838.0 151:917.0 152:473.0 153:308.0 154:396.0 155:786.0 156:663.0 157:36599.0 158:6812.0 159:2912.0 160:73800.0 161:12589.0 162:3617.0 163:4551.0 164:741.0 165:347.0 166:190.0 167:130.0 168:662.0 169:1205.0 170:717.0 171:407.0 172:1494.0 173:2015.0 174:433.0 175:2299.0 176:486.0 177:2151.0 178:433.0 179:293.0 180:332.0 181:228.0 182:295.0 183:157.0 184:316.0 185:294.0 186:1247.0 187:568.0 188:497.0 189:13982.0 190:4076.0 191:6783.0 192:1299.0 193:655.0 194:79.0 195:106.0 196:363.0 197:101.0 198:180.0 199:180.0 200:576.0 201:3036.0 202:878.0 203:2076.0 204:12680.0 205:70630.0 206:14600.0 207:7624.0 208:1084.0 209:382.0 210:1248.0 211:253.0 212:211.0 213:120.0 214:479.0 215:1259.0 216:3847.0 217:39036.0 218:8354.0 219:3821.0 220:561.0 221:2764.0 222:641.0 223:366.0 224:95.0 225:87.0 226:134.0 227:108.0 228:456.0 229:9200.0 230:2855.0 231:4618.0 232:1841.0 233:1898.0 234:1359.0 235:399.0 236:178.0 237:168.0 238:84.0 239:30.0 240:369.0 241:181.0 242:289.0 243:667.0 244:1205.0 245:549.0 246:1097.0 247:504.0 248:250.0 249:143.0 250:95.0 251:57.0 252:58.0 253:99.0 254:161.0 255:133.0 256:476.0 257:167.0 258:110.0 259:312.0 260:299.0 261:198.0 262:1509.0 263:387.0 264:172.0 265:232.0 266:106.0 267:55.0 268:346.0 269:764.0 270:380.0 271:99.0 272:110.0 273:40.0 274:1701.0 275:484.0 276:391.0 277:1718.0 278:721.0 279:287.0 280:82.0 282:3.0 284:8.0 285:8.0 286:53.0 287:33.0 288:51.0 289:77.0 290:188.0 291:3177.0 292:918.0 293:527.0 294:98.0 295:19.0 297:159.0 298:58.0 299:11.0 300:579.0 301:144.0 302:272.0 304:256.0 305:2047.0 306:880.0 307:1794.0 308:476.0 309:229.0 310:27.0 314:32.0 315:43.0 316:55.0 317:124.0 318:1031.0 319:45293.0 320:14424.0 321:6973.0 322:1440.0 323:326.0 324:62.0 325:42.0 326:23.0 328:38.0 329:27.0 330:100.0 331:134.0 332:210.0 333:225.0 334:90.0 335:36.0 336:44.0 337:19.0 338:2.0 342:105.0 343:442.0 344:328.0 345:130.0 346:73.0 347:10.0 348:9.0 350:6.0 351:10.0 354:3.0 357:2.0 358:156.0 359:86.0 360:31.0 362:6.0 363:43.0 364:953.0 365:407.0 366:173.0 367:37.0 370:14.0 372:6.0 373:9.0 374:419.0 375:187.0 376:299.0 377:69.0 378:55.0 379:20.0 381:24.0 389:48.0 390:85.0 391:37.0 392:17.0 393:17.0 403:20.0 405:6.0 407:7.0 408:13.0 412:6.0 417:1.0 420:7.0 421:10.0 432:35.0 433:20.0 434:25.0 435:2.0 443:1.0 448:35.0 449:45.0 453:8.0 458:1.0 464:78.0 465:70.0 466:96.0 467:59.0 468:23.0 476:2.0 479:1.0 483:5.0 486:3.0 492:5.0 498:8.0</t>
  </si>
  <si>
    <t>655155</t>
  </si>
  <si>
    <t>85:82.0 87:23.0 89:164.0 93:29.0 95:94.0 97:18.0 99:80.0 101:71.0 102:247.0 103:562.0 104:34.0 111:20.0 113:102.0 115:61.0 116:81.0 117:195.0 118:3.0 119:12.0 127:13.0 129:228.0 130:111.0 131:267.0 133:667.0 134:19.0 135:11.0 141:1.0 143:521.0 144:13.0 145:25.0 146:15.0 147:1929.0 148:377.0 149:275.0 153:2.0 154:1.0 157:90.0 159:126.0 160:6.0 163:13.0 169:60.0 171:5.0 177:71.0 189:302.0 190:7.0 191:81.0 192:4.0 197:2.0 201:2.0 204:226.0 205:91.0 206:15.0 208:1.0 215:7.0 216:3.0 217:1786.0 218:285.0 219:252.0 220:38.0 221:87.0 222:12.0 230:14.0 233:32.0 243:5.0 244:57.0 245:78.0 246:10.0 247:97.0 248:10.0 257:31.0 258:4.0 259:5.0 260:8.0 261:54.0 262:10.0 275:105.0 276:1.0 285:29.0 286:4.0 291:78.0 292:157.0 293:26.0 303:5.0 305:107.0 306:17.0 309:3.0 318:2.0 319:14.0 331:28.0 333:24.0 334:1.0 335:3.0 346:1.0 347:39.0 355:1.0 375:23.0 379:24.0 380:3.0 384:3.0 393:4.0 420:1.0 435:1.0 450:3.0 458:1.0 465:18.0 480:8.0 481:9.0 482:2.0 490:1.0</t>
  </si>
  <si>
    <t>gluconic acid</t>
  </si>
  <si>
    <t>693140</t>
  </si>
  <si>
    <t>85:147.0 86:29.0 87:286.0 88:169.0 89:1308.0 90:102.0 91:62.0 92:5.0 93:16.0 94:2.0 95:55.0 97:203.0 98:21.0 99:231.0 100:43.0 101:856.0 102:1031.0 103:7085.0 104:680.0 105:353.0 106:22.0 107:72.0 108:5.0 109:8.0 111:89.0 113:194.0 114:12.0 115:293.0 116:322.0 117:4027.0 118:375.0 119:377.0 120:28.0 121:15.0 123:4.0 125:40.0 126:7.0 127:81.0 128:68.0 129:2804.0 130:775.0 131:1609.0 132:220.0 133:2968.0 134:357.0 135:235.0 136:7.0 137:14.0 141:70.0 142:58.0 143:1718.0 144:397.0 145:239.0 146:27.0 147:15913.0 148:2518.0 149:1537.0 150:162.0 151:55.0 153:112.0 155:39.0 157:1135.0 158:150.0 159:78.0 160:35.0 161:78.0 162:16.0 163:195.0 164:27.0 165:33.0 167:14.0 169:282.0 170:47.0 171:382.0 172:77.0 173:48.0 175:208.0 176:22.0 177:109.0 178:3.0 182:3.0 183:47.0 184:1.0 185:41.0 186:18.0 187:23.0 189:2010.0 190:423.0 191:906.0 192:130.0 193:78.0 194:10.0 195:7.0 196:1.0 197:144.0 198:3.0 199:8.0 201:50.0 202:17.0 203:141.0 204:1491.0 205:3337.0 206:648.0 207:544.0 208:81.0 209:34.0 210:3.0 213:4.0 215:61.0 216:14.0 217:3485.0 218:803.0 219:673.0 220:203.0 221:692.0 222:152.0 223:90.0 224:31.0 225:5.0 227:9.0 228:3.0 229:315.0 230:91.0 231:166.0 232:52.0 233:14.0 234:7.0 235:4.0 236:9.0 237:6.0 239:6.0 240:5.0 241:45.0 242:7.0 243:113.0 244:40.0 245:203.0 246:73.0 247:44.0 248:23.0 249:23.0 250:9.0 251:11.0 252:1.0 253:4.0 256:9.0 257:23.0 258:3.0 259:43.0 260:19.0 261:12.0 262:14.0 263:3.0 264:8.0 265:60.0 266:4.0 267:3.0 269:71.0 271:52.0 272:9.0 273:25.0 274:14.0 275:5.0 276:4.0 277:523.0 278:192.0 279:93.0 280:24.0 282:2.0 284:1.0 285:2.0 287:2.0 289:1.0 290:1.0 291:248.0 292:2715.0 293:799.0 294:360.0 295:73.0 296:20.0 297:59.0 298:11.0 299:5.0 300:6.0 304:34.0 305:1357.0 306:424.0 307:386.0 308:89.0 309:27.0 310:12.0 311:3.0 312:3.0 313:2.0 314:2.0 315:38.0 316:24.0 317:29.0 318:68.0 319:1265.0 320:391.0 321:262.0 322:60.0 323:26.0 324:1.0 325:3.0 326:4.0 327:5.0 330:3.0 331:171.0 332:176.0 333:3132.0 334:999.0 335:452.0 336:112.0 337:16.0 338:7.0 339:1.0 340:1.0 342:4.0 343:29.0 344:27.0 345:147.0 346:42.0 347:26.0 351:1.0 352:2.0 353:13.0 354:10.0 355:8.0 357:2.0 358:17.0 359:410.0 360:154.0 361:86.0 362:11.0 363:14.0 364:11.0 365:6.0 366:6.0 369:4.0 370:1.0 371:2.0 372:7.0 374:8.0 377:26.0 378:8.0 379:34.0 380:13.0 381:7.0 382:3.0 383:3.0 385:14.0 386:6.0 389:22.0 390:12.0 391:4.0 392:6.0 393:46.0 394:30.0 395:22.0 396:7.0 397:3.0 399:2.0 400:5.0 401:1.0 402:2.0 403:14.0 405:51.0 406:39.0 407:53.0 408:31.0 409:5.0 410:11.0 412:1.0 415:1.0 417:4.0 418:15.0 419:14.0 420:4.0 421:31.0 422:33.0 423:262.0 424:117.0 425:58.0 426:24.0 427:4.0 431:4.0 432:14.0 433:212.0 434:136.0 435:225.0 436:107.0 437:50.0 438:20.0 439:3.0 442:2.0 444:1.0 446:8.0 447:48.0 448:24.0 449:23.0 450:8.0 453:8.0 454:4.0 456:1.0 457:2.0 460:2.0 463:1.0 464:3.0 465:1.0 466:1.0 467:6.0 468:2.0 469:4.0 470:1.0 472:1.0 474:4.0 479:2.0 480:1.0 481:3.0 486:2.0 493:7.0 494:1.0 495:2.0 497:6.0 499:4.0</t>
  </si>
  <si>
    <t>817783</t>
  </si>
  <si>
    <t>85:593.0 86:299.0 88:18.0 89:1084.0 90:82.0 91:33.0 92:47.0 93:20.0 94:2.0 95:121.0 97:122.0 98:553.0 99:233.0 100:149.0 101:1020.0 102:177.0 103:1393.0 104:106.0 105:225.0 106:67.0 107:38.0 109:61.0 110:8.0 111:58.0 112:61.0 113:117.0 114:59.0 115:58.0 116:738.0 117:421.0 118:41.0 119:99.0 120:4.0 121:25.0 123:27.0 124:5.0 125:5.0 126:18.0 127:146.0 128:17.0 129:1361.0 130:279.0 131:615.0 132:70.0 133:875.0 134:91.0 135:148.0 136:11.0 137:23.0 138:8.0 139:2.0 140:6.0 141:29.0 142:22.0 143:86.0 144:2.0 145:17.0 146:11.0 147:1745.0 148:271.0 149:174.0 150:17.0 151:58.0 152:9.0 153:8.0 154:44.0 155:14.0 156:16.0 157:404.0 158:59.0 159:69.0 160:447.0 161:172.0 162:10.0 163:46.0 164:4.0 165:7.0 167:7.0 168:16.0 169:61.0 170:6.0 171:5.0 172:10.0 173:52.0 174:12.0 175:15.0 176:73.0 177:19.0 178:7.0 179:21.0 181:39.0 182:4.0 183:10.0 186:12.0 187:9.0 188:7.0 189:142.0 190:16.0 191:133.0 192:10.0 193:67.0 194:31.0 195:54.0 196:17.0 197:5.0 198:3.0 200:4.0 201:10.0 203:27.0 204:191.0 205:77.0 206:6.0 207:182.0 208:25.0 209:4.0 210:21.0 211:386.0 212:50.0 213:14.0 215:5.0 216:2.0 217:411.0 218:92.0 219:31.0 220:6.0 221:19.0 222:5.0 225:109.0 226:11.0 227:84.0 228:34.0 229:31.0 230:25.0 231:36.0 232:5.0 233:14.0 234:7.0 235:2.0 236:4.0 238:3.0 239:66.0 240:9.0 243:49.0 244:13.0 245:1.0 246:9.0 247:192.0 248:48.0 249:18.0 253:22.0 254:1.0 256:3.0 257:1.0 258:1.0 259:12.0 260:4.0 261:3.0 262:2.0 266:1.0 268:7.0 269:29.0 270:8.0 272:1.0 273:8.0 274:3.0 276:6.0 277:3.0 279:3.0 281:4.0 283:25.0 285:29.0 286:11.0 287:7.0 289:5.0 290:3.0 291:8.0 293:1.0 296:1.0 298:33.0 299:1140.0 300:254.0 301:154.0 302:16.0 303:4.0 304:1.0 305:27.0 309:1.0 312:2.0 313:25.0 314:54.0 315:510.0 316:126.0 317:62.0 318:10.0 319:7.0 320:8.0 321:2.0 322:3.0 324:1.0 328:13.0 330:4.0 331:38.0 332:13.0 333:14.0 334:4.0 336:5.0 337:3.0 338:3.0 341:40.0 342:27.0 343:15.0 345:3.0 352:2.0 353:2.0 355:3.0 356:15.0 357:369.0 358:122.0 359:51.0 360:6.0 365:2.0 368:1.0 369:1.0 370:16.0 371:6.0 372:5.0 373:9.0 374:8.0 375:6.0 377:4.0 378:2.0 379:1.0 380:1.0 381:4.0 385:5.0 386:105.0 387:1311.0 388:511.0 389:275.0 390:70.0 391:20.0 392:2.0 393:1.0 396:2.0 397:1.0 401:1.0 403:7.0 404:3.0 405:2.0 406:3.0 410:1.0 411:1.0 418:1.0 419:1.0 421:4.0 423:2.0 425:1.0 426:1.0 427:2.0 428:4.0 429:8.0 432:4.0 440:1.0 441:1.0 446:1.0 447:3.0 449:2.0 451:3.0 454:1.0 458:1.0 459:1.0 460:5.0 461:9.0 465:4.0 467:2.0 469:5.0 470:1.0 471:100.0 472:50.0 473:16.0 474:4.0 475:2.0 476:1.0 477:1.0 479:4.0 490:1.0 491:2.0 492:3.0 499:1.0 500:6.0</t>
  </si>
  <si>
    <t>fumaric acid</t>
  </si>
  <si>
    <t>390853</t>
  </si>
  <si>
    <t>245</t>
  </si>
  <si>
    <t>85:1985.0 86:59.0 99:531.0 100:151.0 107:833.0 110:34.0 112:33.0 113:459.0 114:7.0 115:613.0 118:101.0 124:1480.0 126:160.0 127:383.0 128:46.0 129:1.0 130:343.0 131:236.0 132:56.0 133:486.0 140:3.0 141:719.0 143:588.0 144:8.0 147:5757.0 148:441.0 149:335.0 150:15.0 153:24.0 155:283.0 157:212.0 159:1304.0 160:85.0 163:105.0 184:614.0 185:210.0 203:29.0 208:27.0 217:21.0 228:83.0 229:14.0 233:118.0 245:2220.0 246:409.0 247:894.0 248:98.0 249:799.0 250:44.0 259:145.0 260:32.0 263:186.0 264:71.0 275:52.0 300:9.0 352:16.0 353:6.0 355:51.0 372:9.0 464:5.0 486:10.0 490:5.0</t>
  </si>
  <si>
    <t>fructose-6-phosphate</t>
  </si>
  <si>
    <t>805246</t>
  </si>
  <si>
    <t>89:1285.0 90:47.0 97:1.0 99:134.0 100:320.0 101:917.0 102:136.0 103:2354.0 104:91.0 105:20.0 113:85.0 114:515.0 116:415.0 117:732.0 128:40.0 129:2612.0 130:221.0 131:741.0 133:1310.0 134:65.0 138:60.0 140:4.0 142:119.0 143:97.0 147:2019.0 148:290.0 149:375.0 152:2.0 157:318.0 158:4.0 159:39.0 165:11.0 166:1.0 167:37.0 172:155.0 173:305.0 174:49.0 177:13.0 180:13.0 181:104.0 188:11.0 189:121.0 190:22.0 191:161.0 193:181.0 198:33.0 201:128.0 202:22.0 204:266.0 205:213.0 208:29.0 209:73.0 211:888.0 212:70.0 213:2.0 214:93.0 215:64.0 216:118.0 217:4364.0 218:1013.0 219:390.0 220:3.0 224:8.0 225:219.0 226:53.0 227:217.0 228:63.0 229:68.0 230:95.0 231:71.0 232:81.0 239:15.0 243:51.0 244:224.0 245:34.0 246:51.0 252:11.0 254:19.0 256:30.0 257:10.0 258:11.0 260:195.0 261:61.0 262:87.0 268:61.0 269:48.0 270:63.0 271:54.0 272:8.0 274:3.0 275:12.0 283:135.0 285:89.0 287:11.0 295:2.0 298:4.0 299:2907.0 300:797.0 301:365.0 302:89.0 303:8.0 305:2.0 308:13.0 314:151.0 315:6978.0 316:1683.0 317:936.0 318:198.0 319:151.0 320:2.0 321:1.0 328:15.0 329:13.0 330:31.0 332:2.0 333:24.0 335:6.0 337:3.0 339:39.0 341:60.0 350:12.0 353:25.0 357:503.0 358:88.0 359:108.0 360:53.0 361:10.0 368:10.0 369:132.0 373:36.0 374:50.0 375:8.0 376:46.0 377:5.0 379:1.0 389:22.0 390:71.0 391:8.0 392:3.0 393:9.0 403:189.0 404:33.0 405:34.0 408:12.0 413:49.0 430:22.0 434:8.0 435:9.0 449:51.0 451:32.0 454:3.0 458:1.0 459:445.0 460:237.0 461:121.0 462:31.0 463:18.0 475:14.0 477:1.0 491:7.0</t>
  </si>
  <si>
    <t>erythritol</t>
  </si>
  <si>
    <t>471274</t>
  </si>
  <si>
    <t>85:484.0 86:98.0 87:344.0 88:306.0 89:1360.0 90:159.0 91:1305.0 92:413.0 93:938.0 94:98.0 95:309.0 96:42.0 97:75.0 98:38.0 99:347.0 100:100.0 101:2368.0 102:343.0 103:8246.0 104:765.0 105:496.0 106:52.0 107:192.0 108:40.0 110:104.0 111:112.0 112:29.0 113:239.0 114:41.0 115:619.0 116:1778.0 117:5935.0 118:641.0 119:528.0 120:67.0 121:66.0 122:10.0 123:18.0 124:5.0 125:13.0 126:37.0 127:162.0 128:18.0 129:2043.0 130:529.0 131:1448.0 132:223.0 133:3300.0 134:701.0 135:322.0 136:39.0 137:41.0 138:27.0 139:27.0 140:19.0 141:109.0 142:52.0 143:432.0 144:83.0 145:159.0 146:28.0 147:12875.0 148:2074.0 149:1350.0 150:169.0 151:144.0 152:11.0 153:18.0 154:17.0 155:24.0 156:40.0 157:51.0 158:13.0 159:67.0 160:14.0 161:66.0 162:29.0 163:124.0 164:20.0 165:27.0 166:13.0 168:8.0 169:5.0 170:20.0 171:69.0 172:11.0 173:49.0 174:39.0 175:330.0 176:92.0 177:191.0 178:38.0 179:36.0 181:2.0 182:4.0 183:7.0 184:70.0 185:16.0 186:16.0 187:19.0 188:3.0 189:1992.0 190:441.0 191:1426.0 192:295.0 193:156.0 194:35.0 195:3.0 197:12.0 198:11.0 199:12.0 200:14.0 201:11.0 202:10.0 203:181.0 204:1779.0 205:3147.0 206:693.0 207:373.0 208:87.0 209:34.0 210:9.0 211:22.0 215:148.0 216:41.0 217:5388.0 218:1109.0 219:529.0 220:55.0 221:363.0 222:104.0 223:61.0 224:15.0 229:7.0 230:33.0 231:177.0 232:65.0 233:148.0 234:39.0 235:8.0 236:7.0 237:15.0 238:6.0 239:6.0 240:7.0 241:2.0 242:6.0 243:2.0 244:3.0 245:105.0 246:26.0 247:39.0 248:38.0 249:17.0 250:2.0 251:6.0 252:4.0 254:11.0 255:8.0 256:13.0 257:9.0 258:22.0 260:19.0 261:12.0 262:3.0 263:36.0 264:11.0 265:30.0 266:6.0 268:1.0 269:4.0 270:11.0 271:14.0 272:18.0 273:6.0 274:21.0 275:20.0 276:7.0 277:177.0 278:54.0 279:51.0 280:16.0 281:18.0 282:3.0 283:2.0 284:2.0 285:16.0 286:24.0 287:20.0 288:19.0 289:6.0 290:3.0 291:36.0 292:35.0 293:339.0 294:100.0 295:30.0 296:17.0 297:13.0 299:8.0 300:11.0 301:10.0 302:9.0 303:18.0 304:11.0 305:85.0 306:47.0 307:539.0 308:169.0 309:95.0 310:24.0 311:7.0 312:7.0 313:12.0 314:25.0 315:4.0 316:5.0 317:1.0 318:4.0 319:6.0 320:173.0 321:57.0 322:41.0 323:8.0 324:6.0 325:6.0 326:3.0 329:13.0 330:5.0 331:3.0 332:12.0 333:2.0 334:4.0 336:6.0 338:8.0 339:1.0 341:11.0 342:5.0 343:8.0 345:16.0 346:12.0 347:12.0 348:14.0 349:7.0 350:1.0 352:11.0 353:19.0 355:6.0 356:13.0 357:9.0 358:5.0 359:10.0 360:3.0 361:9.0 362:14.0 363:25.0 364:20.0 365:27.0 366:8.0 367:16.0 368:20.0 369:10.0 370:13.0 372:9.0 373:23.0 374:12.0 375:14.0 376:5.0 377:11.0 378:12.0 379:8.0 380:23.0 381:18.0 382:23.0 383:17.0 384:19.0 385:8.0 386:3.0 387:3.0 388:3.0 389:3.0 390:13.0 391:3.0 392:18.0 393:6.0 394:3.0 395:12.0 396:20.0 397:8.0 398:12.0 399:22.0 400:16.0 401:9.0 402:5.0 403:3.0 404:10.0 405:4.0 406:6.0 407:14.0 408:11.0 409:8.0 410:11.0 411:11.0 412:22.0 413:18.0 414:4.0 415:26.0 416:13.0 417:5.0 418:8.0 419:15.0 420:8.0 421:10.0 422:14.0 423:1.0 424:7.0 426:3.0 427:12.0 428:17.0 429:7.0 430:19.0 431:21.0 432:14.0 433:10.0 434:21.0 435:19.0 436:11.0 437:1.0 438:13.0 439:7.0 440:15.0 441:13.0 442:6.0 443:24.0 444:7.0 445:15.0 446:14.0 447:10.0 448:16.0 449:4.0 450:21.0 451:7.0 453:8.0 454:8.0 455:10.0 456:16.0 457:6.0 458:12.0 459:28.0 460:19.0 461:13.0 462:15.0 463:15.0 464:16.0 465:13.0 466:13.0 467:10.0 468:8.0 469:9.0 470:15.0 471:26.0 472:18.0 473:14.0 474:10.0 475:4.0 476:5.0 477:11.0 478:10.0 479:2.0 480:7.0 481:11.0 482:4.0 483:8.0 484:16.0 485:13.0 486:25.0 487:9.0 488:13.0 489:12.0 490:14.0 491:17.0 492:14.0 493:7.0 494:5.0 495:6.0 496:9.0 497:6.0 498:18.0 499:9.0 500:3.0</t>
  </si>
  <si>
    <t>elaidic acid</t>
  </si>
  <si>
    <t>780799</t>
  </si>
  <si>
    <t>85:2151.0 86:797.0 87:573.0 88:397.0 89:1577.0 90:207.0 91:2424.0 92:549.0 93:3414.0 94:1799.0 95:8497.0 96:9929.0 97:6494.0 98:6521.0 99:1786.0 100:274.0 101:745.0 102:140.0 103:279.0 104:38.0 105:1778.0 106:396.0 107:1700.0 108:972.0 109:3692.0 110:3528.0 111:2465.0 112:1218.0 113:334.0 114:57.0 115:256.0 116:3241.0 117:28379.0 118:3045.0 119:2239.0 120:443.0 121:1566.0 122:487.0 123:2175.0 124:1408.0 125:839.0 126:310.0 127:199.0 128:247.0 129:24020.0 130:3086.0 131:5575.0 132:5188.0 133:2358.0 134:1042.0 135:970.0 136:253.0 137:1257.0 138:954.0 139:397.0 140:94.0 141:189.0 142:136.0 143:1510.0 144:235.0 145:7718.0 146:1067.0 147:889.0 148:404.0 149:421.0 150:200.0 151:840.0 152:1041.0 153:270.0 154:49.0 155:660.0 156:164.0 157:604.0 158:184.0 159:595.0 160:82.0 161:241.0 162:92.0 163:114.0 164:119.0 165:392.0 166:545.0 167:193.0 168:98.0 169:536.0 170:156.0 171:1189.0 172:336.0 173:389.0 174:133.0 175:149.0 176:47.0 177:33.0 178:45.0 179:220.0 180:823.0 181:235.0 182:42.0 183:551.0 184:126.0 185:1830.0 186:338.0 187:337.0 188:175.0 189:104.0 190:14.0 191:97.0 192:5.0 193:179.0 194:93.0 195:25.0 196:1.0 197:91.0 198:8.0 199:1762.0 200:285.0 201:429.0 202:191.0 203:92.0 204:43.0 205:1.0 206:2.0 207:156.0 208:86.0 209:10.0 210:1.0 211:109.0 212:9.0 213:295.0 214:49.0 215:88.0 216:15.0 217:43.0 218:1.0 219:21.0 220:142.0 221:275.0 222:891.0 223:157.0 224:1.0 225:47.0 227:252.0 228:72.0 229:67.0 230:33.0 231:2.0 232:2.0 235:113.0 236:134.0 237:2.0 238:2.0 239:31.0 240:5.0 241:219.0 242:44.0 243:67.0 244:5.0 245:4.0 246:51.0 249:2.0 253:15.0 254:2.0 255:161.0 256:10.0 257:103.0 258:41.0 259:3.0 264:684.0 265:128.0 267:14.0 269:65.0 271:55.0 272:53.0 273:5.0 274:4.0 281:26.0 283:20.0 285:16.0 286:21.0 287:1.0 291:7.0 295:56.0 296:16.0 297:1.0 299:49.0 300:4.0 304:2.0 309:4.0 310:1.0 311:83.0 312:29.0 313:12.0 314:1.0 318:1.0 323:5.0 324:2.0 325:1.0 335:14.0 337:4.0 338:122.0 339:3572.0 340:1510.0 341:344.0 342:62.0 343:2.0 352:2.0 354:194.0 355:81.0 356:13.0 357:55.0 358:7.0 359:2.0 366:1.0 370:1.0 372:1.0 373:1.0 375:1.0 381:1.0 382:1.0 386:1.0 390:1.0 397:1.0 402:1.0 405:1.0 407:2.0 421:1.0 424:1.0 431:1.0 435:1.0 446:1.0 449:3.0 450:1.0 456:1.0 457:2.0 459:1.0 462:3.0 471:1.0 491:1.0 495:2.0 498:2.0</t>
  </si>
  <si>
    <t>dodecanol</t>
  </si>
  <si>
    <t>508488</t>
  </si>
  <si>
    <t>85:848.0 86:96.0 87:260.0 88:204.0 89:2162.0 90:175.0 91:343.0 94:34.0 95:202.0 97:2317.0 98:257.0 99:368.0 100:84.0 101:1119.0 102:69.0 103:2233.0 104:130.0 105:39.0 107:2.0 109:13.0 110:1185.0 111:1111.0 112:146.0 113:110.0 114:323.0 115:439.0 116:10.0 117:95.0 118:230.0 119:2.0 120:1.0 121:2.0 123:4.0 125:109.0 128:17.0 129:491.0 130:34.0 132:6.0 133:12.0 134:68.0 136:3.0 140:30.0 142:6.0 143:58.0 146:6.0 147:362.0 148:3.0 149:51.0 155:51.0 156:122.0 157:4.0 158:54.0 159:2.0 160:69.0 167:5.0 168:7.0 169:2.0 170:24.0 171:39.0 172:41.0 173:17.0 174:2.0 181:1.0 183:1.0 185:10.0 186:17.0 188:3.0 189:2.0 191:1393.0 192:175.0 193:4.0 198:102.0 199:10.0 200:87.0 201:12.0 203:170.0 204:12.0 217:109.0 223:4.0 228:147.0 229:2.0 241:1.0 243:2233.0 244:434.0 245:91.0 246:2.0 253:3.0 256:4.0 258:4.0 259:13.0 284:11.0 285:5.0 290:25.0 313:4.0 314:1.0 332:1.0 339:1.0</t>
  </si>
  <si>
    <t>dodecane</t>
  </si>
  <si>
    <t>247379</t>
  </si>
  <si>
    <t>98</t>
  </si>
  <si>
    <t>85:7706.0 86:1554.0 87:672.0 88:810.0 89:230.0 93:103.0 94:200.0 95:91.0 96:489.0 97:374.0 98:3532.0 99:315.0 100:1610.0 101:263.0 102:140.0 103:534.0 105:279.0 107:79.0 108:33.0 109:6.0 110:3339.0 111:97.0 112:212.0 113:1715.0 117:32.0 120:258.0 121:117.0 122:12.0 125:19.0 126:174.0 127:718.0 130:2.0 131:1128.0 132:536.0 133:163.0 147:7143.0 155:2979.0 156:233.0 167:28.0 170:1.0 174:52.0 182:313.0 184:23.0 187:73.0 200:6.0 201:2.0 209:65.0 228:9.0 360:1.0 384:1.0 386:4.0 426:6.0 441:5.0 452:3.0 498:5.0</t>
  </si>
  <si>
    <t>dehydroabietic acid</t>
  </si>
  <si>
    <t>850402</t>
  </si>
  <si>
    <t>85:4286.0 87:7.0 88:562.0 89:13999.0 90:3648.0 91:154331.0 93:13466.0 94:1067.0 95:30599.0 96:6714.0 97:15724.0 98:11009.0 99:15006.0 102:7548.0 103:68.0 104:5352.0 105:58948.0 107:12612.0 108:11772.0 109:51953.0 110:3069.0 111:497.0 112:36436.0 113:6910.0 114:1955.0 115:213870.0 116:64840.0 117:416783.0 118:46977.0 119:63752.0 120:12172.0 121:60035.0 122:10249.0 125:1915.0 126:6230.0 127:68358.0 128:296683.0 129:356732.0 130:61918.0 131:356605.0 132:48853.0 133:66890.0 136:385.0 138:865.0 139:19458.0 140:6250.0 141:378033.0 142:166955.0 143:459160.0 144:67612.0 145:80260.0 146:87920.0 149:13650.0 150:7751.0 151:12724.0 152:79896.0 153:153627.0 154:108846.0 155:268349.0 156:118494.0 157:182290.0 158:40412.0 159:232630.0 160:42110.0 161:9479.0 163:9526.0 164:7198.0 165:118402.0 166:60407.0 167:128754.0 168:63634.0 169:159295.0 170:52293.0 171:370669.0 172:56164.0 173:555531.0 174:85330.0 175:6420.0 176:5711.0 177:4399.0 178:46625.0 179:57185.0 180:29555.0 181:97510.0 182:43525.0 183:141023.0 184:43819.0 185:261989.0 186:157426.0 187:21391.0 188:7108.0 189:4275.0 190:6473.0 191:10254.0 192:10290.0 193:16278.0 194:11007.0 195:79978.0 196:50676.0 197:215833.0 198:45544.0 199:110543.0 200:23030.0 201:2927.0 202:3377.0 203:2943.0 204:6291.0 206:2621.0 207:2179.0 208:4115.0 209:35220.0 210:24889.0 211:72181.0 212:26441.0 213:33206.0 214:11069.0 215:2551.0 216:598.0 220:981.0 222:1550.0 223:37247.0 224:25282.0 225:62637.0 226:31645.0 227:1467.0 236:334.0 237:5099.0 238:13337.0 239:1633860.0 240:397792.0 243:1599.0 244:773.0 245:350.0 246:431.0 248:363.0 249:6583.0 250:203378.0 251:44736.0 252:15093.0 253:22580.0 254:86501.0 255:282641.0 256:57624.0 259:4589.0 260:1110.0 261:1730.0 262:544.0 264:1460.0 265:10888.0 266:2846.0 267:12199.0 268:2631.0 270:218.0 271:1371.0 272:580.0 273:596.0 274:422.0 275:1602.0 276:759.0 280:150.0 282:23821.0 283:6206.0 284:169.0 285:872.0 286:923.0 287:1290.0 288:627.0 289:494.0 290:350.0 291:220.0 292:217.0 293:401.0 294:505.0 295:301.0 296:698.0 297:997.0 298:978.0 299:1095.0 300:959.0 301:770.0 302:730.0 303:499.0 304:637.0 306:746.0 308:179.0 309:613.0 310:684.0 311:674.0 312:772.0 313:1640.0 314:1124.0 315:357.0 316:993.0 317:704.0 318:32.0 321:214.0 322:624.0 323:591.0 324:590.0 325:398.0 326:763.0 328:1207.0 329:4804.0 330:2554.0 331:311.0 334:152.0 335:176.0 336:29.0 337:177.0 338:137.0 339:286.0 340:345.0 349:2.0 350:14.0 356:1781.0 357:183112.0 358:83158.0 359:19677.0 360:3053.0 361:1306.0 362:699.0 363:687.0 364:522.0 365:761.0 366:622.0 367:621.0 368:621.0 369:283.0 370:888.0 371:6397.0 372:279009.0 373:92554.0 374:19695.0 375:2320.0 378:72.0 379:379.0 380:152.0 381:71.0 382:21.0 383:31.0 400:8.0 407:4.0 410:8.0 411:29.0 443:3.0 444:4.0 445:183.0 446:83.0 447:9.0 451:27.0 457:1.0 458:10.0 459:11.0 471:23.0 491:1.0</t>
  </si>
  <si>
    <t>cytidine-5-monophosphate NIST</t>
  </si>
  <si>
    <t>975265</t>
  </si>
  <si>
    <t>169</t>
  </si>
  <si>
    <t>85:70.0 86:30.0 87:34.0 88:5.0 89:92.0 90:9.0 92:8.0 93:78.0 94:53.0 95:126.0 96:70.0 97:174.0 98:48.0 99:384.0 100:55.0 101:247.0 102:39.0 103:182.0 104:9.0 105:45.0 106:18.0 107:100.0 108:20.0 109:106.0 110:107.0 111:60.0 112:16.0 113:189.0 114:34.0 115:147.0 116:88.0 117:123.0 118:11.0 119:71.0 120:26.0 121:72.0 122:30.0 123:47.0 124:74.0 125:39.0 126:144.0 127:128.0 128:37.0 129:669.0 130:138.0 131:121.0 132:28.0 133:488.0 134:73.0 135:188.0 136:29.0 137:65.0 138:62.0 139:20.0 140:98.0 141:94.0 142:80.0 143:243.0 144:35.0 145:57.0 146:10.0 147:1175.0 148:290.0 149:211.0 150:25.0 151:71.0 152:19.0 153:70.0 154:20.0 155:52.0 156:39.0 157:41.0 158:15.0 159:17.0 160:1.0 161:15.0 162:9.0 164:3.0 165:19.0 166:6.0 167:45.0 168:87.0 169:3051.0 170:406.0 171:306.0 172:22.0 173:75.0 174:14.0 175:2.0 176:8.0 177:46.0 178:1.0 179:26.0 180:21.0 181:84.0 182:19.0 183:263.0 184:49.0 185:31.0 186:23.0 187:7.0 188:1.0 189:20.0 191:40.0 192:4.0 193:88.0 194:3.0 195:88.0 196:25.0 197:110.0 198:75.0 199:68.0 200:26.0 201:20.0 202:11.0 203:4.0 204:67.0 205:144.0 206:10.0 207:65.0 208:19.0 209:7.0 210:24.0 211:617.0 212:81.0 213:52.0 214:19.0 215:253.0 216:55.0 217:178.0 218:38.0 219:8.0 220:14.0 221:29.0 222:10.0 223:2.0 224:2.0 225:134.0 226:33.0 227:153.0 228:30.0 229:35.0 230:271.0 231:64.0 232:27.0 233:8.0 234:14.0 236:18.0 237:17.0 238:3.0 239:2.0 240:22.0 241:15.0 242:6.0 243:279.0 244:56.0 245:12.0 246:7.0 247:1.0 248:3.0 249:2.0 251:15.0 252:8.0 253:51.0 254:8.0 255:18.0 256:17.0 257:31.0 258:78.0 259:44.0 260:19.0 261:14.0 263:4.0 264:5.0 265:6.0 266:9.0 267:4.0 268:6.0 269:13.0 270:5.0 271:8.0 272:2.0 273:11.0 274:4.0 275:8.0 277:5.0 279:18.0 280:2.0 281:19.0 282:2.0 283:23.0 284:8.0 285:24.0 286:19.0 287:1.0 289:5.0 290:3.0 291:11.0 292:4.0 293:1.0 294:45.0 295:22.0 296:2.0 297:5.0 298:9.0 299:599.0 300:182.0 301:78.0 302:17.0 303:6.0 304:13.0 307:2.0 308:6.0 309:3.0 310:11.0 311:5.0 312:6.0 313:23.0 314:33.0 315:993.0 316:262.0 317:138.0 318:25.0 319:7.0 320:5.0 321:4.0 322:4.0 323:3.0 324:4.0 325:2.0 326:7.0 327:3.0 328:16.0 329:21.0 330:7.0 331:1.0 333:3.0 335:5.0 336:1.0 337:4.0 338:6.0 341:15.0 342:13.0 343:4.0 349:10.0 350:5.0 351:1.0 352:2.0 353:12.0 354:8.0 355:1.0 356:5.0 358:3.0 359:6.0 361:17.0 362:2.0 363:1.0 364:1.0 365:9.0 366:4.0 367:8.0 368:8.0 369:26.0 370:26.0 371:42.0 372:9.0 373:5.0 374:4.0 375:3.0 376:2.0 379:3.0 380:6.0 381:5.0 382:9.0 383:11.0 384:12.0 385:11.0 386:9.0 387:13.0 388:8.0 389:3.0 391:1.0 392:8.0 394:8.0 395:7.0 396:8.0 397:1.0 399:10.0 400:1.0 401:1.0 402:4.0 403:1.0 404:3.0 407:1.0 408:1.0 409:5.0 410:1.0 411:9.0 412:11.0 413:1.0 414:7.0 415:4.0 417:6.0 418:9.0 420:3.0 422:1.0 423:4.0 425:5.0 428:5.0 429:15.0 431:1.0 432:3.0 433:2.0 436:12.0 437:3.0 438:7.0 441:1.0 443:1.0 444:1.0 445:4.0 446:2.0 447:3.0 448:6.0 450:7.0 451:8.0 452:1.0 454:1.0 455:2.0 456:9.0 457:4.0 458:3.0 459:4.0 461:3.0 463:11.0 464:2.0 465:8.0 466:2.0 468:10.0 470:4.0 471:1.0 472:8.0 473:7.0 474:6.0 476:7.0 477:3.0 478:1.0 479:7.0 480:3.0 481:4.0 482:1.0 484:7.0 485:5.0 486:11.0 487:3.0 488:9.0 489:3.0 490:10.0 491:8.0 493:3.0 494:10.0 495:3.0 497:1.0 498:7.0 499:2.0 500:2.0</t>
  </si>
  <si>
    <t>cysteine</t>
  </si>
  <si>
    <t>501345</t>
  </si>
  <si>
    <t>220</t>
  </si>
  <si>
    <t>85:5.0 86:61.0 87:3.0 88:13.0 89:12.0 90:535.0 91:23042.0 92:11300.0 93:1648.0 94:6.0 95:68.0 97:8.0 98:71.0 99:30.0 100:3492.0 101:362.0 102:221.0 103:170.0 104:21.0 105:88.0 106:337.0 107:4408.0 108:388.0 109:45.0 110:1655.0 114:118.0 115:326.0 116:1010.0 117:143.0 118:73.0 119:133.0 120:8.0 121:4.0 127:879.0 128:17.0 130:385.0 131:193.0 132:1166.0 133:451.0 134:6097.0 135:15.0 136:76.0 139:5.0 144:19.0 145:6.0 146:358.0 147:1396.0 148:306.0 149:185.0 150:32.0 153:2.0 155:108.0 156:18.0 158:6.0 159:6.0 160:25.0 161:2.0 163:59.0 164:5.0 165:1.0 172:4.0 173:31.0 174:12.0 178:1.0 179:2.0 180:1.0 183:1.0 184:1162.0 188:9.0 190:15.0 199:8.0 203:27.0 204:137.0 205:68.0 206:10.0 209:1.0 218:3381.0 219:522.0 220:3777.0 221:735.0 222:336.0 223:37.0 224:14.0 225:3.0 232:44.0 233:5.0 234:12.0 236:1.0 240:4.0 246:1.0 250:1.0 251:1.0 254:3.0 256:3.0 257:1.0 264:4.0 268:1.0 270:1.0 271:3.0 275:7.0 277:1.0 279:2.0 280:2.0 288:16.0 292:3.0 294:78.0 295:9.0 296:9.0 300:1.0 301:3.0 306:4.0 309:1.0 319:1.0 322:21.0 323:4.0 324:2.0 326:2.0 330:1.0 331:1.0 333:1.0 338:1.0 341:1.0 342:1.0 344:2.0 348:1.0 350:1.0 353:2.0 354:1.0 356:3.0 362:1.0 363:4.0 378:1.0 381:1.0 385:2.0 386:11.0 387:1.0 392:2.0 393:3.0 394:5.0 402:1.0 403:1.0 406:1.0 409:6.0 410:1.0 416:1.0 417:1.0 419:1.0 420:1.0 426:1.0 428:2.0 429:4.0 430:2.0 431:1.0 432:1.0 433:1.0 436:2.0 442:1.0 444:1.0 446:1.0 448:2.0 450:2.0 451:1.0 452:2.0 454:4.0 457:4.0 462:2.0 465:2.0 468:2.0 471:6.0 472:1.0 475:1.0 479:1.0 484:7.0 486:2.0 487:2.0 493:1.0 495:1.0 497:1.0 499:2.0 500:8.0</t>
  </si>
  <si>
    <t>creatinine</t>
  </si>
  <si>
    <t>502434</t>
  </si>
  <si>
    <t>115</t>
  </si>
  <si>
    <t>85:33.0 86:125.0 87:4.0 88:21.0 89:2.0 91:138.0 92:33.0 93:3.0 94:1.0 97:3.0 98:24.0 99:272.0 100:2703.0 101:266.0 102:90.0 105:11.0 106:2.0 107:5.0 108:1.0 110:49.0 111:11.0 112:6.0 113:112.0 114:433.0 115:6116.0 116:644.0 117:253.0 118:19.0 126:17.0 127:33.0 128:99.0 129:15.0 130:216.0 131:176.0 132:41.0 133:31.0 134:28.0 136:8.0 138:4.0 141:45.0 142:65.0 143:2431.0 144:263.0 145:68.0 146:17.0 147:268.0 148:20.0 149:4.0 150:1.0 152:1.0 155:22.0 156:3.0 157:50.0 158:72.0 159:7.0 160:3.0 161:1.0 168:1.0 169:1.0 170:6.0 171:715.0 172:146.0 173:37.0 175:1.0 181:4.0 183:1.0 184:65.0 185:5.0 187:121.0 188:31.0 190:2.0 191:2.0 196:2.0 199:14.0 201:19.0 202:4.0 212:3.0 215:48.0 216:10.0 224:1.0 226:18.0 227:4.0 228:40.0 229:11.0 231:3.0 238:1.0 240:4.0 241:54.0 242:10.0 245:9.0 246:2.0 247:4.0 253:2.0 257:2.0 264:1.0 268:1.0 280:1.0 282:1.0 283:2.0 286:1.0 289:1.0 293:1.0 298:1.0 301:1.0 305:1.0 313:1.0 314:185.0 315:48.0 316:6.0 323:2.0 324:1.0 328:7.0 329:296.0 330:111.0 331:43.0 332:2.0 342:2.0 347:2.0 350:2.0 359:1.0 382:1.0 407:1.0 408:1.0 410:4.0 411:1.0 414:2.0 419:3.0 426:6.0 434:4.0 441:1.0 443:5.0 447:1.0 454:1.0 458:1.0 461:5.0 472:3.0 474:3.0 482:1.0 483:2.0 484:3.0 485:1.0 487:1.0 491:1.0</t>
  </si>
  <si>
    <t>citramalic acid</t>
  </si>
  <si>
    <t>457737</t>
  </si>
  <si>
    <t>85:19725.0 86:1099.0 87:1322.0 88:578.0 89:845.0 90:61.0 91:92.0 92:61.0 93:829.0 94:145.0 95:643.0 97:170.0 98:487.0 99:2903.0 100:624.0 101:1960.0 102:815.0 103:2792.0 104:211.0 105:1124.0 106:79.0 107:679.0 108:137.0 110:149.0 112:311.0 113:973.0 114:242.0 115:46661.0 116:5584.0 117:18313.0 118:1505.0 119:2327.0 120:189.0 121:151.0 122:350.0 125:80.0 127:922.0 128:69.0 129:3196.0 130:1830.0 131:9349.0 132:1215.0 133:20962.0 134:2961.0 135:2132.0 136:158.0 138:49.0 139:17.0 140:267.0 141:403.0 142:341.0 143:6867.0 144:643.0 145:7497.0 146:1082.0 147:129644.0 148:20004.0 149:21228.0 150:2733.0 151:1767.0 152:180.0 153:60.0 154:26.0 155:37.0 156:46.0 157:5339.0 158:790.0 159:2410.0 160:305.0 161:562.0 162:104.0 163:12152.0 164:1907.0 165:718.0 166:92.0 168:6.0 169:395.0 170:57.0 171:279.0 172:201.0 173:621.0 174:112.0 175:890.0 176:97.0 177:334.0 178:55.0 182:1.0 183:49.0 184:78.0 185:8897.0 186:1231.0 187:786.0 188:60.0 189:6843.0 190:3184.0 191:2606.0 192:396.0 198:6.0 199:193.0 200:85.0 201:43.0 202:55.0 203:13968.0 204:3170.0 205:3079.0 206:582.0 207:551.0 208:80.0 209:11.0 215:977.0 216:220.0 217:5103.0 218:662.0 219:726.0 220:136.0 221:5400.0 222:1337.0 223:655.0 224:80.0 225:23.0 228:43.0 229:85.0 230:42.0 231:11611.0 232:2804.0 233:6971.0 234:1301.0 235:495.0 236:83.0 237:279.0 238:55.0 246:134.0 247:56935.0 248:12297.0 249:5153.0 250:762.0 251:175.0 256:2.0 259:13660.0 260:3083.0 261:1687.0 262:225.0 264:30.0 266:3.0 271:7.0 277:1455.0 278:450.0 279:589.0 280:140.0 290:11.0 292:251.0 293:32.0 305:1190.0 306:517.0 307:372.0 308:122.0 309:54.0 310:25.0 321:6195.0 322:2227.0 323:1014.0 324:319.0 325:17.0 333:102.0 334:58.0 335:187.0 336:62.0 337:19.0 338:2.0 339:8.0 340:6.0 341:84.0 342:29.0 345:29.0 347:1.0 348:42.0 349:3398.0 350:1002.0 351:555.0 352:89.0 357:7.0 405:14.0 414:1.0 429:50.0 467:8.0</t>
  </si>
  <si>
    <t>cholesterol</t>
  </si>
  <si>
    <t>1079924</t>
  </si>
  <si>
    <t>85:26291.0 86:2806.0 87:4200.0 88:1959.0 89:15787.0 90:2234.0 91:184083.0 92:32436.0 93:148650.0 94:28790.0 95:212510.0 96:18422.0 97:45886.0 98:4159.0 99:11155.0 100:1648.0 101:19591.0 102:3403.0 103:19813.0 104:10492.0 105:171624.0 106:36873.0 107:147300.0 108:29939.0 109:92443.0 110:13438.0 111:30554.0 112:2864.0 113:8111.0 114:1789.0 115:28267.0 116:17261.0 117:59674.0 118:20855.0 119:131274.0 120:63280.0 121:122904.0 122:19119.0 123:34420.0 124:4102.0 125:11564.0 126:1902.0 127:9380.0 128:17035.0 129:396891.0 130:64586.0 131:87043.0 132:27245.0 133:76459.0 134:21192.0 135:52733.0 136:8764.0 137:16614.0 138:2471.0 139:4726.0 140:966.0 141:9802.0 142:10644.0 143:60873.0 144:20630.0 145:104985.0 146:29586.0 147:54374.0 148:19608.0 149:32286.0 150:4694.0 151:10956.0 152:2866.0 153:4943.0 154:3033.0 155:26094.0 156:7838.0 157:27519.0 158:14289.0 159:62966.0 160:43073.0 161:48316.0 162:12905.0 163:33376.0 164:4905.0 165:10072.0 166:2174.0 167:4120.0 168:4318.0 169:10874.0 170:3408.0 171:16780.0 172:6914.0 173:28649.0 174:10863.0 175:18913.0 176:3399.0 177:11962.0 178:2257.0 179:6991.0 180:1985.0 181:7671.0 182:4972.0 183:5534.0 184:1990.0 185:13416.0 186:4487.0 187:10410.0 188:3173.0 189:12359.0 190:2255.0 191:6616.0 192:1239.0 193:6391.0 194:2199.0 195:4139.0 196:4217.0 197:6343.0 198:2033.0 199:13113.0 200:5689.0 201:11359.0 202:2447.0 203:15386.0 204:3196.0 205:6263.0 206:4618.0 207:3326.0 208:1420.0 209:1828.0 210:799.0 211:1802.0 212:1426.0 213:24109.0 214:7220.0 215:11132.0 216:3199.0 217:13242.0 218:2795.0 219:9842.0 220:2603.0 221:1606.0 222:624.0 223:597.0 224:352.0 225:946.0 226:601.0 227:6486.0 228:5054.0 229:6104.0 230:1502.0 231:2991.0 232:888.0 233:8095.0 234:1921.0 235:1640.0 236:536.0 237:427.0 238:266.0 239:1460.0 240:653.0 241:3794.0 242:1341.0 243:1255.0 244:740.0 245:4312.0 246:3926.0 247:18431.0 248:4097.0 249:1218.0 250:1319.0 251:762.0 252:241.0 253:1238.0 254:1065.0 255:23467.0 256:5500.0 257:1955.0 258:686.0 259:4591.0 260:3502.0 261:1690.0 262:553.0 263:364.0 264:185.0 265:339.0 266:167.0 267:465.0 268:197.0 269:720.0 270:391.0 271:854.0 272:425.0 273:2949.0 274:3018.0 275:6048.0 276:1504.0 277:425.0 278:148.0 279:129.0 280:107.0 282:378.0 283:1639.0 284:657.0 285:626.0 286:565.0 287:984.0 288:477.0 289:611.0 290:517.0 291:887.0 292:335.0 293:153.0 294:157.0 295:39.0 296:183.0 297:863.0 298:464.0 299:511.0 300:883.0 301:3885.0 302:1399.0 303:822.0 304:334.0 305:154.0 306:134.0 307:152.0 308:98.0 309:112.0 310:99.0 311:1252.0 312:667.0 313:1211.0 314:991.0 315:579.0 316:248.0 317:223.0 318:205.0 319:142.0 320:78.0 321:130.0 322:60.0 323:53.0 324:129.0 325:904.0 326:3005.0 327:3919.0 328:12406.0 329:48093.0 330:16951.0 331:2775.0 332:445.0 333:117.0 334:36.0 335:53.0 336:49.0 337:112.0 338:55.0 339:1241.0 340:2575.0 341:579.0 342:649.0 343:417.0 344:193.0 345:800.0 346:289.0 347:128.0 348:31.0 349:64.0 350:41.0 351:204.0 352:645.0 353:21369.0 354:9670.0 355:2356.0 356:425.0 358:22.0 359:166.0 360:115.0 361:46.0 362:79.0 363:63.0 364:72.0 365:41.0 366:157.0 367:2312.0 368:41482.0 369:19103.0 370:4623.0 371:855.0 372:260.0 373:158.0 374:92.0 375:40.0 376:22.0 380:12.0 384:14.0 385:38.0 386:113.0 387:147.0 388:112.0 390:13.0 392:16.0 395:1.0 398:1.0 400:40.0 401:277.0 402:165.0 403:122.0 404:78.0 405:37.0 406:12.0 411:8.0 412:25.0 413:41.0 414:117.0 415:69.0 416:267.0 417:229.0 418:114.0 419:42.0 420:15.0 421:13.0 423:11.0 424:23.0 425:187.0 426:171.0 427:87.0 428:68.0 429:148.0 430:316.0 431:135.0 432:56.0 433:15.0 441:94.0 442:586.0 443:5154.0 444:3775.0 445:1221.0 446:297.0 455:60.0 456:356.0 457:1674.0 458:14705.0 459:11147.0 460:4035.0 461:983.0 462:126.0 463:3.0 475:30.0 477:6.0 486:12.0 487:17.0</t>
  </si>
  <si>
    <t>capric acid</t>
  </si>
  <si>
    <t>451122</t>
  </si>
  <si>
    <t>85:16.0 86:49.0 89:92.0 90:2.0 92:9.0 93:4.0 95:59.0 97:1.0 98:26.0 99:2.0 100:5.0 102:2.0 103:186.0 104:8.0 105:10.0 107:1.0 111:8.0 112:4.0 114:2.0 116:30.0 117:1634.0 118:88.0 120:2.0 121:2.0 124:4.0 126:4.0 129:500.0 130:17.0 131:266.0 132:333.0 133:45.0 141:1.0 142:8.0 145:113.0 146:2.0 147:6.0 152:1.0 156:1.0 163:8.0 165:2.0 167:5.0 172:19.0 173:53.0 174:15.0 180:1.0 183:2.0 184:2.0 185:2.0 186:2.0 195:4.0 196:6.0 198:1.0 199:1.0 201:33.0 213:3.0 216:2.0 227:1.0 229:442.0 230:55.0 231:3.0 234:2.0 242:1.0 243:4.0 259:3.0 262:1.0 264:1.0 274:2.0 276:4.0 284:3.0 286:3.0 287:5.0 288:1.0 290:1.0 294:1.0 297:7.0 302:4.0 304:1.0 320:2.0 322:1.0 328:8.0 329:3.0 332:6.0 339:2.0 341:1.0 343:1.0 348:2.0 350:3.0 353:3.0 355:2.0 357:7.0 358:1.0 359:2.0 361:7.0 362:1.0 363:1.0 365:4.0 368:3.0 372:2.0 373:4.0 374:1.0 376:2.0 377:10.0 378:1.0 380:3.0 382:4.0 383:1.0 386:7.0 389:3.0 391:2.0 395:1.0 401:2.0 411:2.0 417:8.0 423:1.0 424:4.0 426:4.0 430:6.0 433:1.0 434:8.0 435:4.0 436:2.0 438:1.0 440:15.0 441:3.0 442:2.0 444:1.0 446:1.0 448:1.0 451:2.0 455:6.0 459:3.0 461:8.0 466:5.0 467:1.0 468:3.0 472:1.0 475:2.0 480:5.0 482:3.0 484:4.0 485:5.0 489:5.0 493:4.0 494:2.0 495:5.0 497:4.0 500:2.0</t>
  </si>
  <si>
    <t>butylamine NIST</t>
  </si>
  <si>
    <t>240203</t>
  </si>
  <si>
    <t>86:8768.0 87:689.0 88:85.0 89:84.0 91:232.0 92:53.0 94:10.0 95:64.0 96:576.0 100:3802.0 101:440.0 102:640.0 103:149.0 104:47.0 105:31.0 106:6.0 107:1821.0 110:354.0 112:270.0 113:902.0 114:672.0 115:129.0 116:305.0 117:289.0 118:122.0 119:415.0 121:1.0 124:170.0 127:75.0 128:5065.0 129:712.0 130:2288.0 132:197.0 134:584.0 135:15.0 136:54.0 137:44.0 141:7.0 142:50.0 144:496.0 146:14.0 147:497.0 148:71.0 151:527.0 152:254.0 154:131.0 156:9.0 158:223.0 159:213.0 160:10.0 166:4.0 168:334.0 169:31.0 172:249.0 173:13.0 174:11185.0 175:2123.0 176:721.0 177:47.0 179:58.0 180:21.0 184:396.0 185:472.0 192:1.0 199:331.0 200:4.0 202:1594.0 203:249.0 208:38.0 228:88.0 229:1.0 232:5.0 244:490.0 245:45.0 246:17.0 283:8.0 337:1.0 376:9.0</t>
  </si>
  <si>
    <t>beta-sitosterol</t>
  </si>
  <si>
    <t>1123681</t>
  </si>
  <si>
    <t>85:4531.0 86:358.0 87:3.0 88:48.0 89:583.0 90:154.0 91:7638.0 92:1349.0 93:6105.0 94:1165.0 95:8104.0 96:960.0 97:2056.0 98:172.0 99:1014.0 100:41.0 101:684.0 102:166.0 103:997.0 104:354.0 105:7105.0 106:1488.0 107:5785.0 108:1130.0 109:3696.0 110:501.0 111:1543.0 112:136.0 113:330.0 114:73.0 115:1222.0 116:551.0 117:2475.0 118:820.0 119:5839.0 120:2816.0 121:5034.0 122:764.0 123:1515.0 124:176.0 125:525.0 126:63.0 127:168.0 128:757.0 129:15627.0 130:2559.0 131:3551.0 132:1074.0 133:3370.0 134:958.0 135:2150.0 136:383.0 137:658.0 138:107.0 139:227.0 140:238.0 141:438.0 142:400.0 143:2607.0 144:789.0 145:4264.0 146:1133.0 147:2430.0 148:737.0 149:1391.0 150:162.0 151:432.0 152:90.0 153:172.0 154:110.0 155:1088.0 156:279.0 157:1210.0 158:552.0 159:2787.0 160:1811.0 161:1943.0 162:502.0 163:1374.0 164:273.0 165:259.0 166:43.0 167:91.0 168:116.0 169:487.0 170:147.0 171:663.0 172:280.0 173:1318.0 174:393.0 175:687.0 176:60.0 177:552.0 178:79.0 179:227.0 180:23.0 181:262.0 182:181.0 183:168.0 184:58.0 185:481.0 186:163.0 187:377.0 188:81.0 189:484.0 190:70.0 191:360.0 192:72.0 193:154.0 194:53.0 195:138.0 196:91.0 197:295.0 198:40.0 199:507.0 200:215.0 201:375.0 202:79.0 203:512.0 204:214.0 205:126.0 207:185.0 208:226.0 209:64.0 210:35.0 211:122.0 212:56.0 213:865.0 214:279.0 215:454.0 216:130.0 217:875.0 218:126.0 219:91.0 220:1.0 221:156.0 222:37.0 223:12.0 224:19.0 225:41.0 226:31.0 227:233.0 228:159.0 229:193.0 230:50.0 231:118.0 232:10.0 233:123.0 234:57.0 235:115.0 236:46.0 237:8.0 238:6.0 239:68.0 240:17.0 241:131.0 242:16.0 243:60.0 244:13.0 245:173.0 246:35.0 247:143.0 248:39.0 249:19.0 250:62.0 251:19.0 252:40.0 253:75.0 254:55.0 255:908.0 256:179.0 257:80.0 259:147.0 261:118.0 262:24.0 263:12.0 265:4.0 267:53.0 269:34.0 271:16.0 273:81.0 274:78.0 275:388.0 276:111.0 281:81.0 282:79.0 283:82.0 284:39.0 285:19.0 287:70.0 288:75.0 289:44.0 290:2.0 291:7.0 296:18.0 298:1.0 300:26.0 301:31.0 302:41.0 303:53.0 304:23.0 309:5.0 311:22.0 312:6.0 313:59.0 314:11.0 316:13.0 318:17.0 325:56.0 326:10.0 327:56.0 329:102.0 330:52.0 331:35.0 332:14.0 338:6.0 339:3.0 340:30.0 341:3.0 342:18.0 343:5.0 345:27.0 346:8.0 349:9.0 350:11.0 352:23.0 354:81.0 355:143.0 356:373.0 357:1223.0 358:466.0 359:113.0 361:32.0 367:22.0 368:26.0 369:40.0 371:54.0 379:1.0 380:24.0 381:484.0 382:227.0 383:53.0 384:36.0 385:6.0 386:5.0 387:11.0 392:10.0 394:6.0 395:93.0 396:1168.0 397:663.0 398:141.0 399:18.0 406:3.0 411:4.0 412:6.0 414:9.0 415:40.0 416:16.0 429:3.0 430:18.0 432:7.0 434:5.0 436:2.0 441:1.0 442:9.0 444:16.0 447:7.0 453:12.0 454:3.0 458:3.0 460:34.0 471:117.0 472:72.0 473:52.0 474:8.0 475:12.0 477:2.0 483:5.0 484:9.0 485:63.0 486:307.0 487:258.0 488:62.0 489:12.0 490:16.0 494:3.0 499:14.0 500:2.0</t>
  </si>
  <si>
    <t>beta-alanine</t>
  </si>
  <si>
    <t>435375</t>
  </si>
  <si>
    <t>248</t>
  </si>
  <si>
    <t>86:21789.0 87:7246.0 88:5778.0 89:4138.0 90:624.0 91:11715.0 92:587.0 93:1760.0 97:3377.0 98:1347.0 99:5303.0 100:17860.0 101:5739.0 102:5352.0 103:7699.0 104:22951.0 105:3353.0 106:134.0 107:3441.0 108:294.0 109:5375.0 110:4964.0 113:3606.0 114:774.0 115:3726.0 116:5435.0 117:9899.0 118:5074.0 119:2195.0 120:1029.0 121:86.0 123:906.0 124:2343.0 125:467.0 127:802.0 128:3624.0 129:2296.0 130:10682.0 131:4364.0 132:2046.0 133:17475.0 134:10254.0 135:44.0 136:1945.0 137:301.0 138:421.0 140:425.0 141:245.0 142:2047.0 143:944.0 144:313.0 146:966.0 147:28461.0 148:5122.0 149:3406.0 150:407.0 151:18.0 152:11.0 156:1302.0 157:1465.0 158:339.0 159:16.0 160:2247.0 161:777.0 162:1277.0 163:346.0 164:126.0 165:89.0 166:199.0 167:1021.0 169:343.0 170:382.0 171:121.0 172:1067.0 173:15.0 174:19451.0 175:4600.0 176:2771.0 177:1408.0 178:170.0 181:5688.0 182:577.0 183:86.0 185:673.0 187:210.0 188:1546.0 189:3200.0 190:636.0 191:1511.0 192:285.0 193:236.0 194:69.0 195:1037.0 196:287.0 197:2293.0 198:495.0 200:1608.0 201:321.0 202:1410.0 203:2912.0 204:621.0 205:347.0 206:250.0 207:3701.0 208:616.0 210:49.0 211:485.0 213:165.0 215:228.0 216:97.0 217:703.0 218:570.0 219:8950.0 220:1350.0 221:551.0 222:1721.0 223:119.0 224:102.0 225:21.0 229:20.0 230:186.0 231:955.0 232:980.0 233:2404.0 234:450.0 235:269.0 236:95.0 237:138.0 238:120.0 239:20406.0 240:4050.0 241:1129.0 242:771.0 244:14.0 245:480.0 246:582.0 247:131.0 248:15803.0 249:3812.0 250:1340.0 251:229.0 252:116.0 253:239.0 254:43.0 255:32.0 258:45.0 261:112.0 262:51.0 263:18.0 264:9.0 265:288.0 266:39.0 268:33.0 271:26.0 275:63.0 276:38.0 277:493.0 278:73.0 279:19.0 283:265.0 285:20.0 286:49.0 287:14.0 288:48.0 289:149.0 290:3153.0 291:1171.0 292:22.0 293:1265.0 294:330.0 295:138.0 301:358.0 302:188.0 303:50.0 304:213.0 306:16.0 307:333.0 308:62.0 310:4.0 311:10.0 314:89.0 315:514.0 316:132.0 317:41.0 319:1.0 321:265.0 322:112.0 323:23.0 325:3.0 330:37.0 332:97.0 333:79.0 334:31.0 335:25.0 336:38.0 342:84.0 346:19.0 349:118.0 350:11.0 358:27.0 362:5.0 377:30.0 378:5.0 441:18.0 446:16.0 485:18.0</t>
  </si>
  <si>
    <t>benzoic acid</t>
  </si>
  <si>
    <t>338043</t>
  </si>
  <si>
    <t>85:107.0 86:2.0 89:295.0 90:77.0 91:199.0 92:26.0 93:34.0 94:6.0 95:15.0 99:6.0 100:568.0 101:59.0 103:359.0 104:77.0 105:12135.0 106:1028.0 107:108.0 108:16.0 109:26.0 110:46.0 113:1.0 114:119.0 116:215.0 117:244.0 118:31.0 119:114.0 120:50.0 121:73.0 122:100.0 126:31.0 127:6.0 128:8.0 129:140.0 130:113.0 131:94.0 133:249.0 134:100.0 135:7193.0 136:1140.0 137:291.0 138:19.0 139:6.0 140:84.0 142:71.0 143:23.0 147:1394.0 148:182.0 149:125.0 150:18.0 153:12.0 156:44.0 157:76.0 158:44.0 160:2.0 161:10.0 163:18.0 164:20.0 166:9.0 169:2.0 170:98.0 171:11.0 172:11.0 173:17.0 178:12.0 179:7798.0 180:1301.0 181:398.0 182:35.0 184:129.0 186:3.0 187:3.0 188:228.0 189:14.0 190:27.0 191:1766.0 192:261.0 193:235.0 194:488.0 195:81.0 196:21.0 201:16.0 210:3.0 212:2.0 214:2.0 223:2.0 230:4.0 232:82.0 233:17.0 237:1.0 239:2.0 242:3.0 244:3.0 245:5.0 246:3.0 248:2.0 252:1.0 253:1.0 256:3.0 259:1.0 260:22.0 261:3.0 262:3.0 270:2.0 274:3.0 275:1.0 276:4.0 284:2.0 300:1.0 305:2.0 312:2.0 316:1.0 317:1.0 318:3.0 319:6.0 320:1.0 323:2.0 325:3.0 328:13.0 329:3.0 330:6.0 331:2.0 332:1.0 335:1.0 338:2.0 343:14.0 344:16.0 345:13.0 346:6.0 351:2.0 357:10.0 358:6.0 360:12.0 361:2.0 362:5.0 363:8.0 365:2.0 366:2.0 368:2.0 370:2.0 374:7.0 376:4.0 377:3.0 378:7.0 379:5.0 380:4.0 382:3.0 384:3.0 387:4.0 388:4.0 389:2.0 390:6.0 392:5.0 393:6.0 394:7.0 395:10.0 397:1.0 398:2.0 400:1.0 401:1.0 402:4.0 404:1.0 405:1.0 408:1.0 409:4.0 410:8.0 411:2.0 412:5.0 413:4.0 414:2.0 415:3.0 418:2.0 419:1.0 420:3.0 421:2.0 423:9.0 426:1.0 427:6.0 428:1.0 433:1.0 434:3.0 435:3.0 436:5.0 437:2.0 441:2.0 442:6.0 443:9.0 444:1.0 446:4.0 447:3.0 448:3.0 449:2.0 450:6.0 452:1.0 456:4.0 457:1.0 459:4.0 460:5.0 461:2.0 462:1.0 463:1.0 464:2.0 466:5.0 467:3.0 471:5.0 474:5.0 477:1.0 478:3.0 479:3.0 480:3.0 481:1.0 482:2.0 485:4.0 488:1.0 490:1.0 491:1.0 493:2.0 496:3.0 498:1.0 500:5.0</t>
  </si>
  <si>
    <t>behenic acid</t>
  </si>
  <si>
    <t>919675</t>
  </si>
  <si>
    <t>85:443.0 86:84.0 87:239.0 88:45.0 89:113.0 90:5.0 91:86.0 92:19.0 93:75.0 94:6.0 95:310.0 96:111.0 97:661.0 98:211.0 99:150.0 100:28.0 101:378.0 102:25.0 103:1615.0 104:96.0 105:114.0 106:5.0 107:39.0 109:98.0 110:13.0 111:239.0 112:35.0 113:56.0 114:9.0 115:109.0 116:344.0 117:3631.0 118:306.0 119:133.0 121:48.0 122:2.0 123:33.0 124:12.0 125:74.0 126:7.0 127:25.0 129:1845.0 130:580.0 131:757.0 132:1237.0 133:495.0 134:55.0 135:50.0 137:4.0 138:4.0 139:30.0 140:5.0 141:3.0 143:119.0 144:8.0 145:892.0 146:211.0 147:949.0 148:169.0 149:126.0 150:4.0 151:4.0 152:2.0 153:15.0 155:5.0 156:59.0 157:35.0 158:10.0 159:51.0 160:3.0 163:11.0 164:4.0 166:2.0 167:4.0 168:2.0 169:5.0 170:1.0 171:39.0 172:1.0 173:6.0 174:164.0 175:48.0 176:2.0 177:10.0 178:4.0 181:1.0 182:3.0 183:1.0 185:68.0 187:24.0 188:15.0 189:33.0 195:1.0 196:4.0 198:2.0 199:7.0 201:110.0 202:7.0 203:4.0 204:59.0 205:314.0 206:45.0 207:32.0 208:7.0 211:5.0 213:9.0 215:2.0 217:5.0 218:43.0 219:51.0 220:15.0 221:4.0 225:2.0 227:5.0 228:2.0 231:1.0 232:1.0 233:2.0 235:5.0 242:2.0 243:5.0 246:1.0 247:6.0 249:6.0 250:7.0 252:1.0 253:4.0 254:1.0 258:3.0 260:2.0 262:1.0 264:2.0 265:1.0 266:2.0 268:3.0 269:1.0 271:10.0 279:1.0 283:4.0 284:6.0 286:2.0 288:2.0 289:3.0 293:6.0 294:2.0 297:1.0 299:27.0 300:7.0 301:5.0 303:3.0 304:2.0 306:1.0 308:1.0 310:1.0 311:2.0 313:3.0 314:6.0 320:1.0 321:2.0 324:3.0 326:1.0 327:2.0 329:1.0 332:1.0 334:1.0 338:7.0 339:11.0 340:13.0 343:3.0 345:3.0 348:1.0 349:1.0 350:1.0 353:11.0 354:2.0 355:1.0 356:4.0 358:4.0 360:1.0 363:3.0 364:2.0 365:2.0 368:2.0 369:6.0 370:5.0 372:1.0 374:5.0 376:3.0 380:3.0 381:3.0 384:1.0 386:3.0 387:2.0 389:1.0 396:7.0 397:189.0 398:119.0 399:26.0 400:2.0 401:1.0 404:1.0 407:2.0 408:1.0 409:1.0 410:2.0 412:22.0 413:9.0 414:4.0 417:1.0 418:2.0 419:2.0 420:3.0 425:5.0 426:6.0 427:1.0 428:3.0 429:3.0 433:3.0 434:1.0 435:4.0 437:2.0 442:3.0 448:1.0 449:1.0 451:1.0 453:1.0 455:4.0 457:4.0 458:2.0 459:4.0 460:4.0 463:6.0 465:2.0 469:2.0 470:4.0 472:3.0 477:1.0 478:3.0 481:1.0 483:2.0 484:1.0 486:2.0 487:2.0 490:6.0 491:1.0 494:5.0 495:2.0 498:3.0</t>
  </si>
  <si>
    <t>aspartic acid</t>
  </si>
  <si>
    <t>480543</t>
  </si>
  <si>
    <t>232</t>
  </si>
  <si>
    <t>85:102.0 86:172.0 87:46.0 88:27.0 89:23.0 90:5.0 91:18.0 92:1.0 93:25.0 95:10.0 96:2.0 98:114.0 99:75.0 100:3517.0 101:373.0 102:175.0 103:206.0 104:21.0 105:16.0 106:1.0 107:17.0 108:3.0 109:7.0 110:18.0 112:4.0 113:11.0 114:46.0 115:150.0 116:123.0 117:760.0 118:75.0 119:101.0 120:12.0 121:5.0 123:2.0 124:7.0 125:3.0 126:6.0 127:5.0 128:67.0 129:37.0 130:297.0 131:260.0 132:207.0 133:535.0 134:45.0 135:38.0 136:5.0 139:4.0 140:34.0 141:2.0 142:151.0 143:41.0 144:68.0 145:11.0 146:46.0 147:1595.0 148:247.0 149:256.0 150:11.0 151:4.0 152:3.0 153:4.0 155:27.0 156:8.0 157:51.0 158:95.0 159:17.0 160:48.0 161:8.0 162:6.0 163:137.0 164:17.0 165:12.0 166:4.0 167:5.0 168:1.0 169:25.0 170:1.0 171:23.0 172:61.0 173:30.0 174:101.0 175:20.0 176:27.0 177:44.0 178:7.0 179:7.0 182:3.0 183:6.0 184:7.0 185:8.0 186:37.0 187:4.0 188:396.0 189:105.0 190:41.0 191:24.0 192:15.0 193:3.0 194:3.0 195:9.0 197:4.0 199:4.0 200:13.0 201:8.0 202:374.0 203:80.0 204:108.0 205:33.0 206:15.0 207:4.0 208:2.0 209:5.0 210:4.0 211:1.0 212:2.0 213:3.0 214:4.0 215:1.0 216:178.0 217:40.0 218:675.0 219:136.0 220:57.0 221:28.0 222:13.0 223:19.0 224:2.0 225:13.0 226:5.0 227:7.0 229:10.0 230:8.0 231:9.0 232:3382.0 233:643.0 234:251.0 235:55.0 236:2.0 237:3.0 238:2.0 239:12.0 240:12.0 241:6.0 242:2.0 243:8.0 244:27.0 245:43.0 246:15.0 247:10.0 248:3.0 249:3.0 250:2.0 251:3.0 252:10.0 253:4.0 254:2.0 256:3.0 257:3.0 259:4.0 260:7.0 261:8.0 262:5.0 263:16.0 264:4.0 265:6.0 266:17.0 267:5.0 268:5.0 269:7.0 270:11.0 271:1.0 272:6.0 273:2.0 274:2.0 275:6.0 276:3.0 277:9.0 278:4.0 279:12.0 280:11.0 281:5.0 282:7.0 283:3.0 284:5.0 285:3.0 286:6.0 288:6.0 289:7.0 290:11.0 291:2.0 292:44.0 293:8.0 294:11.0 295:1.0 296:5.0 297:2.0 298:3.0 299:3.0 300:4.0 301:9.0 302:9.0 304:2.0 305:3.0 306:68.0 307:26.0 308:13.0 309:5.0 310:5.0 311:3.0 312:8.0 313:5.0 314:9.0 315:2.0 316:5.0 317:11.0 318:4.0 319:1.0 320:10.0 321:2.0 322:1.0 323:11.0 324:1.0 325:12.0 326:3.0 327:4.0 328:5.0 329:14.0 330:8.0 332:6.0 333:3.0 334:36.0 335:17.0 336:6.0 337:15.0 338:5.0 339:2.0 340:9.0 341:7.0 342:1.0 343:4.0 344:9.0 345:9.0 347:14.0 348:6.0 349:19.0 350:21.0 351:12.0 352:1.0 353:8.0 354:7.0 355:10.0 356:1.0 357:6.0 358:8.0 359:3.0 360:2.0 361:2.0 362:10.0 363:3.0 364:7.0 365:7.0 366:2.0 368:3.0 369:2.0 370:1.0 371:3.0 372:5.0 373:15.0 374:8.0 375:11.0 376:8.0 377:9.0 378:6.0 379:10.0 380:7.0 381:5.0 382:6.0 383:4.0 384:3.0 385:8.0 386:5.0 387:4.0 388:9.0 389:3.0 390:3.0 391:5.0 392:4.0 395:2.0 396:6.0 397:9.0 398:3.0 399:5.0 400:13.0 401:5.0 402:7.0 403:2.0 404:4.0 405:10.0 406:3.0 407:4.0 408:14.0 409:7.0 410:1.0 411:5.0 412:5.0 413:1.0 414:18.0 415:4.0 416:7.0 417:2.0 418:8.0 419:5.0 420:3.0 421:5.0 422:6.0 423:12.0 424:1.0 425:10.0 426:12.0 427:6.0 428:1.0 429:3.0 430:11.0 431:6.0 432:10.0 433:5.0 434:3.0 435:9.0 436:4.0 437:11.0 438:3.0 439:10.0 441:9.0 442:10.0 443:5.0 444:13.0 445:4.0 447:8.0 448:12.0 449:3.0 451:7.0 452:12.0 453:10.0 454:9.0 455:8.0 456:10.0 457:9.0 458:3.0 459:3.0 460:8.0 461:6.0 462:7.0 464:9.0 465:9.0 466:13.0 467:4.0 468:8.0 469:6.0 471:1.0 472:4.0 473:2.0 474:8.0 476:6.0 477:9.0 478:6.0 479:5.0 480:1.0 481:13.0 483:4.0 484:6.0 485:2.0 486:1.0 487:2.0 488:2.0 489:10.0 490:4.0 491:9.0 492:9.0 493:8.0 494:2.0 495:14.0 496:1.0 497:6.0 498:2.0 499:6.0 500:12.0</t>
  </si>
  <si>
    <t>159</t>
  </si>
  <si>
    <t>476542</t>
  </si>
  <si>
    <t>85:52.0 86:126.0 87:10.0 88:1.0 89:8.0 91:233.0 92:2.0 93:107.0 94:2.0 95:9.0 97:1.0 98:80.0 99:21.0 100:2700.0 101:199.0 102:110.0 103:3.0 106:1.0 107:3.0 108:4.0 110:12.0 114:32.0 115:1891.0 116:482.0 117:12.0 118:5.0 119:2.0 123:5.0 126:6.0 127:10.0 128:1085.0 129:70.0 130:57.0 131:129.0 132:9.0 133:9.0 134:14.0 136:1.0 139:1.0 142:80.0 144:5.0 147:133.0 148:7.0 149:9.0 150:2.0 153:2.0 158:140.0 159:3.0 160:9.0 161:3.0 166:1.0 167:10.0 168:1.0 174:3.0 190:2.0 193:2.0 199:1.0 201:89.0 202:6.0 215:3.0 217:3.0 227:1.0 233:3.0 241:1.0 243:694.0 244:146.0 245:35.0 248:1.0 250:1.0 266:2.0 273:3.0 274:5.0 275:1.0 279:2.0 288:2.0 289:2.0 294:1.0 297:2.0 302:1.0 313:1.0 316:1.0 317:1.0 318:4.0 324:3.0 362:1.0 364:2.0 370:6.0 383:1.0 385:1.0 390:2.0 400:2.0 401:2.0 410:2.0 418:1.0 438:1.0 440:1.0 445:2.0 461:2.0 465:2.0 481:2.0 483:1.0 486:1.0 494:2.0 498:1.0</t>
  </si>
  <si>
    <t>188</t>
  </si>
  <si>
    <t>asparagine</t>
  </si>
  <si>
    <t>arachidic acid</t>
  </si>
  <si>
    <t>856486</t>
  </si>
  <si>
    <t>85:5859.0 88:228.0 89:5274.0 90:1214.0 91:10782.0 92:4083.0 93:8557.0 94:2444.0 95:13392.0 96:841.0 97:9267.0 98:10027.0 99:2162.0 101:131.0 104:171.0 105:8363.0 106:1744.0 107:2678.0 108:3904.0 109:4920.0 110:40.0 111:6308.0 112:3828.0 113:6.0 115:909.0 116:11782.0 117:206331.0 118:21956.0 119:11623.0 120:1503.0 121:2945.0 122:1004.0 123:1870.0 124:425.0 125:2089.0 126:441.0 127:583.0 128:829.0 129:86046.0 130:8835.0 131:30887.0 132:84268.0 133:21454.0 134:5335.0 135:2399.0 136:957.0 137:650.0 139:731.0 140:452.0 141:334.0 143:8707.0 144:5178.0 145:55190.0 146:7498.0 147:3730.0 148:2017.0 149:593.0 151:527.0 152:457.0 153:307.0 154:883.0 156:564.0 157:892.0 158:298.0 159:7044.0 160:1071.0 161:727.0 162:139.0 163:140.0 168:432.0 171:4342.0 172:743.0 173:1429.0 174:1230.0 175:541.0 178:86.0 179:1164.0 180:677.0 181:638.0 182:1012.0 184:16.0 185:4488.0 186:10558.0 187:6405.0 188:2390.0 189:520.0 190:612.0 191:2865.0 192:435.0 193:71.0 194:88.0 195:228.0 196:423.0 197:1474.0 198:339.0 199:1235.0 201:11795.0 202:2901.0 203:616.0 204:2635.0 206:156.0 209:616.0 210:121.0 213:621.0 214:386.0 215:1184.0 216:472.0 221:504.0 225:194.0 226:134.0 227:1460.0 228:681.0 229:965.0 230:553.0 232:97.0 233:226.0 234:348.0 237:206.0 238:557.0 239:646.0 241:220.0 242:116.0 243:677.0 244:430.0 248:167.0 249:12.0 250:532.0 251:593.0 252:507.0 253:274.0 254:295.0 255:1186.0 257:335.0 259:791.0 260:86.0 261:160.0 262:71.0 264:46.0 265:123.0 266:679.0 268:234.0 269:998.0 270:599.0 271:583.0 272:165.0 273:327.0 274:20.0 277:178.0 278:14.0 279:89.0 282:245.0 283:22.0 284:115.0 285:22905.0 286:5436.0 287:2377.0 288:278.0 289:66.0 290:80.0 291:472.0 292:175.0 293:111.0 294:317.0 295:343.0 296:332.0 297:45.0 298:477.0 299:3691.0 301:634.0 302:301.0 304:102.0 306:214.0 307:220.0 308:220.0 309:17.0 310:98.0 311:61.0 312:66.0 313:327.0 314:130.0 316:168.0 318:4869.0 319:1641.0 320:775.0 321:133.0 322:191.0 323:428.0 324:140.0 325:2951.0 326:1546.0 327:669.0 328:324.0 329:293.0 332:185.0 333:1039.0 334:497.0 335:250.0 336:16.0 337:292.0 338:31.0 339:357.0 340:415.0 341:2176.0 342:962.0 343:1009.0 345:451.0 346:180.0 347:24.0 349:86.0 350:34.0 351:1.0 352:113.0 353:101.0 354:71.0 355:198.0 356:480.0 358:1000.0 359:446.0 360:168.0 361:100.0 365:35.0 366:231.0 367:126.0 368:1210.0 369:20902.0 370:7857.0 371:2172.0 372:369.0 378:237.0 380:2.0 381:65.0 382:78.0 383:63.0 384:3170.0 385:1523.0 386:553.0 387:280.0 388:363.0 389:530.0 390:171.0 391:81.0 393:52.0 395:94.0 396:44.0 397:185.0 398:91.0 399:1476.0 400:690.0 401:395.0 407:14.0 408:88.0 415:283.0 417:126.0 419:68.0 420:116.0 421:57.0 424:19.0 426:30.0 429:118.0 432:478.0 433:377.0 434:106.0 435:170.0 439:39.0 440:35.0 442:57.0 443:52.0 445:69.0 446:146.0 451:4.0 454:56.0 455:66.0 456:98.0 457:185.0 458:154.0 459:7.0 461:99.0 462:11.0 464:8.0 467:64.0 470:120.0 471:204.0 472:36.0 475:35.0 476:17.0 477:25.0 478:2.0 481:2.0 486:4.0 487:15.0 488:10.0 489:5.0 496:74.0 499:4.0</t>
  </si>
  <si>
    <t>alpha ketoglutaric acid</t>
  </si>
  <si>
    <t>507734</t>
  </si>
  <si>
    <t>198</t>
  </si>
  <si>
    <t>85:391.0 86:157.0 87:197.0 88:83.0 89:3128.0 90:249.0 91:359.0 92:18.0 93:33.0 94:2.0 95:43.0 96:9.0 97:842.0 98:144.0 99:219.0 100:122.0 101:471.0 102:91.0 103:908.0 104:48.0 105:69.0 108:3.0 109:9.0 110:31.0 111:395.0 112:805.0 113:115.0 114:22.0 115:301.0 116:23.0 119:30.0 124:1.0 125:68.0 126:385.0 127:113.0 128:97.0 129:209.0 130:28.0 131:109.0 132:19.0 133:322.0 134:31.0 135:11.0 137:1.0 138:3.0 139:5.0 140:25.0 141:4.0 142:14.0 143:34.0 144:17.0 145:33.0 147:2642.0 148:379.0 149:207.0 150:28.0 151:3.0 153:9.0 154:225.0 155:35.0 156:1276.0 157:181.0 158:93.0 159:31.0 160:16.0 161:6.0 162:1.0 163:13.0 166:1.0 167:3.0 168:2.0 170:417.0 171:103.0 172:138.0 173:89.0 174:22.0 179:2.0 181:2.0 182:39.0 183:22.0 184:22.0 185:6.0 186:435.0 187:50.0 188:16.0 190:9.0 191:3.0 193:18.0 197:1.0 198:1306.0 199:209.0 200:96.0 201:95.0 202:284.0 203:25.0 204:4.0 206:3.0 207:39.0 213:1.0 214:3.0 215:3.0 217:25.0 221:68.0 223:37.0 224:2.0 227:1.0 229:268.0 230:50.0 231:4.0 232:1.0 237:7.0 239:1.0 240:4.0 242:2.0 243:949.0 244:326.0 245:76.0 246:19.0 248:1.0 249:1.0 253:3.0 255:4.0 261:1.0 265:1.0 267:34.0 268:1.0 271:1.0 272:9.0 273:22.0 274:3.0 275:1.0 277:7.0 281:59.0 282:31.0 286:4.0 288:311.0 289:86.0 290:20.0 291:3.0 292:2.0 298:1.0 301:1.0 304:243.0 305:46.0 306:8.0 311:1.0 312:2.0 313:2.0 315:4.0 319:3.0 322:5.0 324:2.0 325:2.0 327:33.0 328:6.0 332:1.0 341:9.0 342:3.0 345:2.0 346:1.0 349:1.0 351:3.0 352:1.0 353:3.0 354:5.0 355:117.0 356:37.0 357:5.0 358:5.0 359:3.0 366:1.0 367:3.0 371:1.0 374:1.0 375:1.0 381:3.0 385:6.0 390:2.0 392:1.0 397:2.0 401:14.0 404:1.0 405:2.0 407:1.0 410:1.0 418:2.0 422:5.0 423:5.0 424:1.0 431:3.0 434:4.0 435:1.0 444:4.0 447:2.0 450:1.0 456:4.0 461:2.0 466:1.0 467:1.0 469:2.0 470:1.0 474:4.0 475:1.0 479:5.0 482:4.0 484:1.0 487:2.0 489:1.0 495:3.0</t>
  </si>
  <si>
    <t>alanine</t>
  </si>
  <si>
    <t>246015</t>
  </si>
  <si>
    <t>85:7160.0 86:66621.0 87:19398.0 88:17953.0 89:6025.0 90:422.0 91:428.0 92:393.0 93:1514.0 94:42607.0 95:3907.0 96:289.0 97:620.0 98:5042.0 99:3787.0 100:129231.0 101:34843.0 102:37944.0 103:104324.0 104:10070.0 105:11024.0 106:477.0 109:88.0 112:3400.0 113:106.0 114:21712.0 115:26128.0 116:2516836.0 117:304316.0 118:100850.0 119:17937.0 120:1789.0 121:763.0 125:36.0 127:31.0 128:36562.0 129:6101.0 130:1105.0 131:37872.0 132:18200.0 133:58559.0 135:2167.0 139:5.0 140:36.0 141:62.0 142:711.0 143:413.0 144:7751.0 145:1031.0 146:3527.0 147:485258.0 148:73951.0 149:37146.0 150:4110.0 151:838.0 152:7.0 153:9.0 157:13.0 158:1423.0 159:185.0 160:565.0 161:83.0 162:70.0 163:90.0 165:7.0 166:50.0 168:45.0 169:16.0 171:10.0 172:1085.0 173:223.0 174:8594.0 175:2525.0 176:793.0 177:54.0 179:8.0 181:5.0 182:7.0 183:10.0 184:44.0 185:18.0 186:23.0 188:1757.0 189:84.0 190:93865.0 191:21268.0 192:8642.0 193:959.0 194:88.0 196:8.0 200:455.0 201:4.0 202:499.0 203:2.0 209:8.0 210:5.0 211:2.0 212:1.0 213:3.0 216:614.0 217:252.0 218:27221.0 219:5178.0 220:2237.0 225:8.0 226:10.0 227:1.0 231:54.0 232:480.0 233:676.0 234:141.0 235:20.0 241:4.0 248:20.0 249:2.0 250:1.0 256:7.0 270:3.0 280:3.0 290:2.0 294:1.0 302:1.0 310:1.0 333:4.0 450:15.0</t>
  </si>
  <si>
    <t>111</t>
  </si>
  <si>
    <t>adenosine</t>
  </si>
  <si>
    <t>917818</t>
  </si>
  <si>
    <t>236</t>
  </si>
  <si>
    <t>85:270.0 86:49.0 87:193.0 88:302.0 89:849.0 90:85.0 91:13.0 92:11.0 93:18.0 94:3.0 97:56.0 98:18.0 99:218.0 100:54.0 101:801.0 102:178.0 103:2593.0 104:193.0 105:98.0 106:5.0 107:1.0 108:11.0 109:55.0 110:5.0 111:177.0 113:134.0 114:11.0 115:302.0 116:249.0 117:923.0 118:52.0 119:119.0 120:3.0 124:1.0 126:3.0 127:73.0 128:2.0 129:1315.0 130:175.0 131:386.0 132:16.0 133:1076.0 134:110.0 135:82.0 136:13.0 137:1.0 138:9.0 140:13.0 141:38.0 142:77.0 143:304.0 144:37.0 145:47.0 146:3.0 147:2948.0 148:446.0 149:452.0 150:27.0 151:12.0 152:1.0 153:17.0 154:6.0 155:74.0 156:8.0 157:164.0 158:22.0 159:16.0 161:23.0 162:11.0 163:16.0 164:11.0 165:128.0 166:27.0 168:7.0 169:339.0 170:51.0 171:42.0 175:15.0 176:32.0 177:43.0 178:1.0 180:8.0 182:1.0 183:29.0 185:25.0 187:13.0 189:287.0 190:59.0 191:328.0 192:547.0 193:110.0 194:11.0 195:4.0 198:2.0 199:12.0 202:2.0 203:90.0 204:838.0 205:246.0 206:167.0 207:189.0 208:266.0 209:22.0 210:1.0 215:56.0 216:5.0 217:2027.0 218:451.0 219:197.0 220:47.0 221:47.0 229:12.0 230:1100.0 231:299.0 232:107.0 233:30.0 234:15.0 235:4.0 236:1101.0 237:156.0 238:31.0 239:3.0 243:303.0 244:53.0 245:498.0 246:118.0 247:58.0 248:18.0 249:1.0 251:3.0 253:2.0 257:46.0 258:54.0 259:148.0 260:32.0 262:5.0 264:55.0 265:1.0 267:1.0 278:15.0 279:47.0 280:106.0 281:9.0 286:1.0 289:85.0 290:10.0 291:28.0 292:6.0 301:2.0 305:7.0 306:82.0 307:26.0 313:1.0 318:3.0 320:6.0 321:5.0 322:52.0 323:8.0 324:6.0 332:22.0 333:9.0 334:31.0 335:9.0 337:8.0 341:2.0 344:1.0 346:2.0 347:1.0 348:14.0 349:6.0 350:3.0 351:2.0 354:1.0 355:4.0 359:3.0 360:13.0 362:27.0 375:3.0 384:3.0 389:2.0 392:1.0 394:4.0 396:1.0 400:2.0 405:1.0 419:2.0 420:2.0 421:1.0 423:7.0 424:1.0 428:1.0 434:1.0 440:5.0 443:1.0 448:1.0 475:1.0 481:2.0 485:1.0 486:3.0 491:1.0 493:1.0 499:1.0 500:5.0</t>
  </si>
  <si>
    <t>adenine</t>
  </si>
  <si>
    <t>646247</t>
  </si>
  <si>
    <t>264</t>
  </si>
  <si>
    <t>85:6141.0 86:2655.0 88:119.0 91:29.0 92:234.0 93:1127.0 94:217.0 95:1003.0 96:232.0 97:903.0 98:987.0 99:6447.0 100:5646.0 101:11.0 102:475.0 106:66.0 108:302.0 109:492.0 110:985.0 111:4481.0 112:594.0 121:464.0 122:476.0 123:1618.0 124:605.0 125:1080.0 126:44.0 127:199.0 128:89.0 130:1786.0 132:356.0 134:2.0 135:302.0 136:444.0 137:987.0 138:1231.0 139:309.0 141:285.0 142:181.0 146:95.0 149:7738.0 150:1005.0 151:881.0 152:580.0 153:163.0 154:201.0 155:606.0 156:422.0 157:1252.0 160:2296.0 161:258.0 162:296.0 164:1167.0 165:4695.0 166:803.0 167:787.0 168:192.0 169:300.0 176:959.0 177:42.0 178:316.0 179:885.0 180:1445.0 181:106.0 182:231.0 183:15.0 188:512.0 191:212.0 192:12437.0 193:1734.0 194:831.0 195:91.0 196:192.0 197:229.0 198:32.0 200:130.0 205:726.0 206:2385.0 207:252.0 208:286.0 209:172.0 210:356.0 211:160.0 212:24.0 213:27.0 215:72.0 220:313.0 222:460.0 223:295.0 224:59.0 228:94.0 229:732.0 232:35.0 234:359.0 236:333.0 237:1524.0 238:788.0 239:167.0 240:216.0 241:40.0 242:27.0 243:322.0 245:141.0 246:294.0 248:1176.0 249:10.0 250:53.0 251:120.0 252:29.0 253:6.0 254:9.0 258:121.0 259:51.0 261:52.0 263:428.0 264:54588.0 265:12539.0 266:4940.0 267:666.0 268:100.0 269:28.0 270:80.0 271:109.0 272:55.0 273:49.0 276:78.0 278:718.0 279:10227.0 280:2994.0 281:964.0 282:141.0 283:65.0 285:39.0 286:48.0 288:736.0 289:21.0 290:115.0 294:11.0 298:34.0 300:96.0 301:23.0 305:144.0 309:78.0 313:6.0 314:7.0 316:2037.0 317:338.0 318:65.0 319:2345.0 320:682.0 321:335.0 322:87.0 323:25.0 324:6.0 327:7.0 328:14.0 329:60.0 330:1.0 331:236.0 332:19.0 333:258.0 334:145.0 335:123.0 336:60.0 341:6.0 343:24.0 347:17.0 348:33.0 359:2.0 361:124.0 365:24.0 371:15.0 374:39.0 377:9.0 378:15.0 379:26.0 381:33.0 382:1.0 384:5.0 387:48.0 391:20.0 392:19.0 400:19.0 401:13.0 402:5.0 403:9.0 404:51.0 407:12.0 409:16.0 410:2.0 414:2.0 422:19.0 424:4.0 428:17.0 431:27.0 435:16.0 436:3.0 440:4.0 445:2.0 448:8.0 451:15.0 455:8.0 459:4.0 461:26.0 464:8.0 465:3.0 466:51.0 467:25.0 475:38.0 484:11.0 488:7.0</t>
  </si>
  <si>
    <t>6-deoxyglucitol NIST</t>
  </si>
  <si>
    <t>595333</t>
  </si>
  <si>
    <t>85:426.0 86:112.0 87:609.0 88:301.0 89:1337.0 90:134.0 91:442.0 92:147.0 93:53.0 94:30.0 95:464.0 96:47.0 97:61.0 98:42.0 99:384.0 100:72.0 101:1856.0 102:396.0 103:7717.0 104:716.0 105:466.0 106:54.0 107:60.0 108:23.0 109:35.0 110:43.0 111:117.0 112:33.0 113:296.0 114:74.0 115:915.0 116:785.0 117:32379.0 118:3426.0 119:1559.0 120:148.0 121:52.0 122:29.0 123:24.0 124:9.0 125:46.0 126:9.0 127:233.0 128:38.0 129:7419.0 130:1168.0 131:3826.0 132:475.0 133:3631.0 134:477.0 135:303.0 136:43.0 137:18.0 138:31.0 139:40.0 140:16.0 141:195.0 142:96.0 143:2366.0 144:315.0 145:265.0 146:58.0 147:16496.0 148:2597.0 149:1767.0 150:236.0 151:223.0 152:54.0 153:14.0 154:22.0 155:89.0 156:30.0 157:2562.0 158:383.0 159:248.0 160:63.0 161:176.0 162:51.0 163:375.0 164:81.0 165:55.0 166:44.0 167:358.0 168:69.0 169:126.0 170:24.0 171:287.0 172:70.0 173:84.0 174:43.0 175:262.0 176:67.0 177:194.0 178:32.0 179:40.0 180:25.0 181:14.0 182:13.0 183:37.0 184:41.0 185:71.0 186:34.0 187:40.0 188:23.0 189:1095.0 190:315.0 191:492.0 192:119.0 193:84.0 194:37.0 195:20.0 196:16.0 197:17.0 198:9.0 199:11.0 200:1.0 201:113.0 202:52.0 203:403.0 204:690.0 205:6039.0 206:1148.0 207:668.0 208:137.0 209:56.0 210:11.0 211:12.0 212:9.0 213:4.0 214:1.0 215:56.0 216:29.0 217:4316.0 218:1129.0 219:2850.0 220:597.0 221:548.0 222:128.0 223:82.0 224:33.0 225:10.0 226:9.0 227:6.0 228:5.0 229:721.0 230:260.0 231:1309.0 232:395.0 233:165.0 234:50.0 235:17.0 236:12.0 237:22.0 238:7.0 239:21.0 240:13.0 241:34.0 242:21.0 243:70.0 244:30.0 245:52.0 246:25.0 247:44.0 248:34.0 249:31.0 250:34.0 251:18.0 252:9.0 253:10.0 254:18.0 255:17.0 256:29.0 257:428.0 258:122.0 259:76.0 260:17.0 261:21.0 262:23.0 263:19.0 264:12.0 265:35.0 266:15.0 267:1.0 268:9.0 271:2.0 272:12.0 273:18.0 274:20.0 275:13.0 276:19.0 277:754.0 278:292.0 279:141.0 280:37.0 281:8.0 282:7.0 283:4.0 284:10.0 285:14.0 286:11.0 287:5.0 288:15.0 289:9.0 290:5.0 291:383.0 292:130.0 293:94.0 294:28.0 295:8.0 296:2.0 297:15.0 298:5.0 299:18.0 301:7.0 303:11.0 304:22.0 305:236.0 306:124.0 307:482.0 308:155.0 309:87.0 310:15.0 311:12.0 312:17.0 313:9.0 314:11.0 315:12.0 316:6.0 317:10.0 318:133.0 319:4411.0 320:1426.0 321:885.0 322:248.0 323:93.0 324:30.0 325:18.0 326:13.0 327:20.0 328:13.0 330:16.0 331:207.0 332:69.0 333:122.0 334:52.0 335:26.0 336:9.0 337:12.0 338:8.0 339:1.0 340:17.0 341:11.0 342:17.0 343:2.0 344:7.0 345:13.0 346:44.0 347:20.0 348:8.0 349:23.0 350:8.0 351:5.0 352:9.0 353:17.0 354:4.0 355:5.0 356:15.0 357:5.0 358:5.0 359:4.0 360:9.0 361:18.0 362:5.0 363:14.0 365:5.0 367:6.0 368:11.0 369:13.0 370:16.0 371:9.0 372:6.0 373:11.0 374:9.0 375:6.0 376:8.0 377:5.0 378:9.0 379:18.0 380:5.0 381:2.0 382:18.0 384:18.0 385:22.0 386:8.0 387:14.0 388:8.0 390:3.0 391:6.0 392:15.0 395:14.0 396:21.0 397:15.0 398:6.0 400:17.0 401:1.0 402:13.0 403:4.0 404:13.0 405:3.0 406:7.0 407:2.0 408:21.0 409:23.0 410:9.0 411:3.0 412:7.0 413:16.0 414:1.0 415:14.0 416:3.0 417:10.0 418:22.0 419:4.0 420:15.0 421:14.0 422:2.0 423:18.0 424:11.0 425:11.0 426:7.0 427:2.0 428:9.0 429:7.0 430:7.0 431:4.0 432:2.0 433:21.0 434:17.0 435:4.0 436:22.0 437:12.0 438:28.0 439:9.0 440:7.0 441:10.0 442:13.0 443:9.0 444:6.0 445:15.0 446:13.0 447:10.0 448:8.0 451:7.0 452:10.0 453:2.0 454:7.0 455:12.0 456:13.0 457:4.0 458:17.0 459:7.0 460:9.0 461:9.0 462:17.0 463:5.0 464:5.0 466:11.0 467:13.0 468:12.0 469:12.0 470:12.0 471:25.0 472:9.0 473:13.0 474:6.0 475:16.0 476:6.0 477:6.0 478:9.0 479:2.0 480:3.0 481:3.0 482:8.0 483:21.0 484:11.0 486:26.0 488:5.0 489:12.0 490:8.0 491:17.0 492:14.0 493:15.0 494:4.0 495:7.0 496:10.0 497:5.0 498:3.0 499:5.0 500:4.0</t>
  </si>
  <si>
    <t>5'-deoxy-5'-methylthioadenosine</t>
  </si>
  <si>
    <t>967673</t>
  </si>
  <si>
    <t>85:752.0 86:87.0 87:301.0 88:117.0 89:29.0 90:13.0 91:49.0 92:31.0 94:20.0 96:52.0 97:155.0 98:113.0 99:615.0 100:104.0 101:655.0 102:88.0 103:796.0 104:98.0 105:170.0 106:21.0 108:42.0 109:102.0 110:38.0 111:443.0 112:66.0 113:188.0 115:141.0 116:293.0 117:373.0 118:2.0 119:175.0 120:17.0 121:14.0 122:40.0 123:55.0 124:53.0 125:72.0 126:51.0 127:164.0 128:10.0 129:1690.0 130:160.0 131:329.0 132:46.0 133:413.0 134:43.0 135:107.0 136:48.0 137:59.0 138:47.0 141:128.0 142:127.0 143:366.0 144:31.0 145:141.0 146:6.0 147:1877.0 148:323.0 149:348.0 150:18.0 151:43.0 152:12.0 153:26.0 155:16.0 157:145.0 158:35.0 159:18.0 160:36.0 161:63.0 162:47.0 163:30.0 164:61.0 165:289.0 166:48.0 169:1242.0 170:138.0 171:114.0 173:201.0 174:14.0 175:1862.0 176:282.0 177:188.0 178:30.0 179:5.0 180:94.0 181:27.0 183:10.0 185:8.0 186:2.0 188:2113.0 189:505.0 190:235.0 191:1489.0 192:1225.0 193:300.0 194:42.0 195:21.0 196:1.0 197:17.0 201:35.0 202:10.0 203:36.0 204:3186.0 205:545.0 206:368.0 207:350.0 208:544.0 209:165.0 211:28.0 213:2.0 214:4.0 215:15.0 217:948.0 218:181.0 219:137.0 220:46.0 221:29.0 223:1.0 225:10.0 226:2.0 227:1.0 228:5.0 229:1.0 231:46.0 232:27.0 233:12.0 234:8.0 235:39.0 236:2919.0 237:440.0 238:141.0 239:20.0 242:5.0 243:205.0 244:33.0 245:131.0 246:20.0 248:6.0 249:6.0 250:17.0 254:6.0 255:1.0 258:19.0 259:19.0 260:5.0 261:6.0 262:6.0 263:2.0 264:62.0 265:6.0 267:13.0 268:1.0 269:5.0 270:6.0 271:45.0 272:1.0 273:4.0 274:14.0 275:2.0 278:56.0 279:15.0 280:67.0 281:27.0 283:4.0 284:4.0 285:5.0 288:10.0 289:31.0 290:20.0 291:44.0 292:10.0 293:5.0 294:8.0 296:2.0 300:1.0 302:6.0 305:29.0 306:82.0 307:22.0 309:2.0 312:12.0 313:5.0 315:2.0 316:12.0 317:15.0 318:6.0 319:13.0 320:9.0 321:1.0 322:13.0 323:9.0 325:2.0 327:1.0 328:1.0 330:6.0 331:2.0 334:12.0 335:1.0 337:2.0 338:19.0 341:1.0 343:1.0 345:4.0 347:2.0 349:2.0 354:2.0 355:15.0 357:2.0 360:5.0 361:115.0 362:66.0 363:26.0 365:1.0 367:6.0 368:4.0 370:1.0 374:11.0 376:27.0 385:2.0 392:2.0 393:12.0 395:1.0 397:7.0 398:13.0 399:26.0 400:2.0 401:1.0 407:6.0 408:4.0 409:4.0 411:6.0 412:3.0 413:9.0 415:4.0 416:1.0 419:1.0 421:2.0 422:2.0 423:1.0 426:8.0 427:3.0 428:13.0 430:6.0 432:9.0 440:17.0 442:17.0 443:11.0 444:1.0 445:4.0 446:4.0 448:5.0 449:4.0 450:5.0 451:76.0 452:53.0 453:23.0 454:11.0 455:9.0 456:1.0 461:4.0 465:8.0 467:25.0 468:2.0 469:12.0 470:2.0 471:9.0 474:8.0 479:3.0 480:2.0 482:1.0 483:5.0 484:11.0 485:1.0 486:1.0 491:1.0 492:4.0 494:1.0 497:11.0 498:92.0 499:44.0 500:44.0</t>
  </si>
  <si>
    <t>3-phosphoglycerate</t>
  </si>
  <si>
    <t>611619</t>
  </si>
  <si>
    <t>89:282.0 91:24.0 93:91.0 94:5.0 95:70.0 98:38.0 101:2347.0 102:375.0 103:234.0 104:128.0 105:88.0 106:56.0 107:59.0 115:196.0 116:602.0 117:492.0 119:175.0 120:31.0 121:60.0 123:93.0 124:6.0 129:4.0 130:11.0 131:45.0 133:1871.0 134:314.0 135:528.0 136:47.0 137:161.0 139:17.0 140:47.0 142:52.0 143:659.0 144:41.0 145:2.0 147:4231.0 148:475.0 149:623.0 150:203.0 151:117.0 152:768.0 153:67.0 154:14.0 162:7.0 163:1.0 165:19.0 166:35.0 167:65.0 173:7.0 174:40.0 177:20.0 178:9.0 179:18.0 180:57.0 181:255.0 182:47.0 183:117.0 189:293.0 190:65.0 191:180.0 192:69.0 193:330.0 194:316.0 195:376.0 196:98.0 197:45.0 200:19.0 201:55.0 205:54.0 207:469.0 208:36.0 209:164.0 210:50.0 211:2134.0 212:313.0 213:127.0 214:2.0 217:1111.0 218:79.0 219:21.0 221:114.0 222:13.0 224:74.0 225:265.0 226:83.0 227:1943.0 228:277.0 229:115.0 231:1.0 237:283.0 238:19.0 243:11.0 251:32.0 253:105.0 254:17.0 255:4.0 258:17.0 259:17.0 266:14.0 267:73.0 269:47.0 272:18.0 275:3.0 280:5.0 283:37.0 284:21.0 285:194.0 287:21.0 292:5.0 293:1.0 295:135.0 296:16.0 298:29.0 299:2398.0 300:544.0 301:324.0 302:19.0 303:36.0 307:1.0 310:7.0 312:216.0 313:89.0 314:220.0 315:745.0 316:246.0 317:150.0 318:29.0 328:19.0 332:2.0 333:4.0 334:1.0 341:150.0 342:16.0 343:16.0 352:13.0 355:3.0 356:43.0 357:1182.0 358:368.0 359:195.0 360:30.0 369:17.0 371:12.0 386:43.0 387:495.0 388:165.0 389:91.0 390:23.0 392:2.0 393:1.0 398:9.0 412:2.0 415:28.0 416:16.0 428:6.0 444:3.0 459:224.0 460:99.0 461:51.0 474:3.0 495:2.0</t>
  </si>
  <si>
    <t>3-aminoisobutyric acid</t>
  </si>
  <si>
    <t>452732</t>
  </si>
  <si>
    <t>85:15921.0 86:422033.0 87:46834.0 88:18182.0 89:5690.0 90:1528.0 91:815.0 92:96.0 93:131.0 94:280.0 95:1999.0 96:1350.0 97:1767.0 98:2805.0 99:11568.0 100:229163.0 101:31830.0 102:28268.0 103:12809.0 104:2959.0 105:3562.0 106:623.0 107:3066.0 108:467.0 109:248.0 110:2100.0 111:558.0 112:5452.0 113:18941.0 114:24218.0 115:16536.0 116:15974.0 117:31578.0 118:6479.0 119:12353.0 120:1918.0 121:924.0 122:364.0 123:330.0 124:285.0 125:499.0 126:1606.0 127:1426.0 128:5428.0 129:9024.0 130:97331.0 131:48071.0 132:16524.0 133:123083.0 134:24466.0 135:10299.0 136:1165.0 137:518.0 138:410.0 139:419.0 140:3935.0 141:1234.0 142:8823.0 143:3640.0 144:6287.0 145:3586.0 146:13413.0 147:175891.0 148:27658.0 149:14496.0 150:1561.0 151:430.0 152:272.0 153:695.0 154:8874.0 155:3099.0 156:1372.0 157:1149.0 158:5309.0 159:1938.0 160:24363.0 161:4900.0 162:2009.0 163:539.0 164:106.0 165:153.0 167:16.0 168:124.0 169:613.0 170:1328.0 171:2245.0 172:11834.0 173:4030.0 174:680213.0 175:121318.0 176:55577.0 177:6994.0 178:1189.0 179:192.0 180:211.0 181:468.0 182:271.0 183:15.0 184:1332.0 185:307.0 186:3505.0 187:2764.0 188:4043.0 189:2399.0 190:2447.0 191:565.0 192:203.0 195:80.0 197:25.0 198:219.0 199:312.0 200:432.0 201:535.0 202:1460.0 203:606.0 204:3375.0 205:1058.0 206:327.0 208:17.0 210:58.0 211:31.0 212:164.0 213:563.0 214:790.0 215:334.0 216:1968.0 217:7.0 218:1398.0 219:438.0 220:353.0 221:25.0 225:65.0 226:32.0 227:257.0 228:496.0 229:85.0 230:822.0 231:501.0 232:273.0 233:149.0 234:93.0 236:3.0 238:52.0 239:15.0 240:207.0 241:3.0 242:231.0 243:2116.0 244:600.0 245:463.0 246:4758.0 247:1280.0 248:137246.0 249:35198.0 250:18073.0 251:3231.0 252:755.0 253:229.0 254:858.0 255:151.0 256:1522.0 257:323.0 258:109.0 261:15.0 262:516.0 263:19.0 264:88.0 266:48.0 268:23.0 269:2.0 270:18.0 271:1106.0 272:185.0 273:136.0 274:188.0 275:88.0 276:21.0 277:32.0 279:74.0 280:58.0 281:38.0 282:69.0 283:174.0 284:158.0 285:51.0 286:66.0 288:1443.0 289:594.0 290:240.0 299:127.0 300:67.0 301:2.0 302:693.0 303:395.0 304:30991.0 305:9527.0 306:4617.0 307:946.0 308:203.0 309:21.0 316:8.0 318:2.0 319:20.0 322:14.0 323:7.0 346:5.0 347:4.0 348:3.0 350:2.0 351:1.0 356:12.0 362:1.0 370:3.0 378:11.0 383:2.0 386:1.0 389:6.0 395:2.0 399:2.0 406:2.0 409:24.0 410:4.0 416:6.0 439:1.0 444:6.0 449:1.0 473:2.0 489:18.0 498:3.0</t>
  </si>
  <si>
    <t>374207</t>
  </si>
  <si>
    <t>939705</t>
  </si>
  <si>
    <t>167</t>
  </si>
  <si>
    <t>85:172.0 104:116.0 110:13.0 111:15.0 121:110.0 122:19.0 127:178.0 130:8.0 132:113.0 143:11.0 148:279.0 149:2238.0 150:332.0 167:1234.0 168:83.0 194:16.0 204:4.0 208:14.0 209:12.0 217:60.0 221:8.0 251:19.0 253:30.0 281:12.0 299:35.0 307:16.0 315:5.0 372:6.0 375:2.0 445:3.0 458:4.0</t>
  </si>
  <si>
    <t>374016</t>
  </si>
  <si>
    <t>507692</t>
  </si>
  <si>
    <t>85:1418.0 86:74.0 90:2.0 95:84.0 96:37.0 99:22.0 101:60.0 102:20.0 113:65.0 115:122.0 116:373.0 117:22.0 120:375.0 129:5247.0 130:672.0 131:332.0 132:33.0 133:891.0 134:84.0 135:30.0 147:2542.0 148:301.0 149:626.0 150:83.0 151:11.0 155:12.0 156:6.0 157:1293.0 158:215.0 159:188.0 161:4.0 184:18.0 185:79.0 186:3.0 203:870.0 204:200.0 205:22.0 218:41.0 221:32.0 223:67.0 231:369.0 232:66.0 243:61.0 247:1258.0 248:217.0 249:92.0 321:32.0 349:111.0 350:14.0</t>
  </si>
  <si>
    <t>374008</t>
  </si>
  <si>
    <t>548310</t>
  </si>
  <si>
    <t>85:1022.0 86:901.0 87:290.0 88:175.0 89:525.0 90:119.0 91:114.0 93:338.0 94:40.0 95:1500.0 96:81.0 97:736.0 98:813.0 99:234.0 100:766.0 101:608.0 102:158.0 103:148.0 105:926.0 107:170.0 109:402.0 111:508.0 112:651.0 113:188.0 114:160.0 115:324.0 116:3272.0 117:23917.0 118:2449.0 119:861.0 120:18.0 121:59.0 123:155.0 125:23.0 126:77.0 127:23.0 128:108.0 129:10130.0 130:2007.0 131:4817.0 132:6921.0 133:1597.0 134:286.0 135:204.0 139:74.0 140:87.0 141:78.0 142:570.0 143:650.0 144:1203.0 145:3246.0 146:668.0 147:1698.0 148:5.0 149:46.0 156:25.0 157:451.0 158:3342.0 159:836.0 160:1587.0 161:161.0 162:30.0 170:16.0 171:438.0 172:184.0 173:335.0 174:89.0 177:4.0 182:3.0 184:114.0 185:375.0 186:385.0 187:350.0 188:90.0 191:58.0 193:160.0 195:42.0 199:86.0 201:629.0 202:996.0 203:133.0 204:55.0 207:65.0 211:74.0 213:337.0 214:397.0 215:200.0 216:2.0 217:188.0 227:1.0 229:286.0 230:20.0 232:1.0 234:8.0 241:4.0 243:15.0 245:283.0 246:54.0 247:22.0 255:2.0 256:17.0 257:4579.0 258:1058.0 259:212.0 260:1.0 269:7.0 271:19.0 272:132.0 273:74.0 275:196.0 276:126.0 277:7.0 283:78.0 285:84.0 289:9.0 290:2.0 291:12.0 299:233.0 300:17.0 304:322.0 305:28.0 306:16.0 307:13.0 317:7.0 339:2.0 341:17.0 348:4.0 363:45.0 403:2.0 437:6.0 450:72.0 451:925.0 452:328.0 453:169.0 454:21.0 465:4.0 466:20.0 467:12.0</t>
  </si>
  <si>
    <t>373802</t>
  </si>
  <si>
    <t>644620</t>
  </si>
  <si>
    <t>131</t>
  </si>
  <si>
    <t>87:313.0 88:28.0 89:47.0 90:347.0 91:53.0 94:1.0 96:131.0 97:22.0 98:178.0 99:188.0 100:1456.0 101:337.0 102:258.0 106:44.0 107:198.0 108:477.0 110:85.0 113:13.0 115:792.0 116:2470.0 117:2192.0 118:484.0 119:257.0 121:40.0 124:40.0 125:1.0 127:173.0 128:811.0 129:851.0 130:887.0 131:32117.0 132:3419.0 133:2486.0 134:125.0 135:158.0 137:52.0 140:219.0 141:19.0 142:344.0 143:524.0 144:3044.0 145:607.0 146:345.0 147:1302.0 148:376.0 149:348.0 152:178.0 153:102.0 154:99.0 155:96.0 156:359.0 157:200.0 158:105.0 159:97.0 161:2.0 164:17.0 168:150.0 169:352.0 170:123.0 174:76.0 175:1.0 176:22.0 177:99.0 179:2.0 180:43.0 182:346.0 183:77.0 184:93.0 187:19.0 188:68.0 189:429.0 190:48.0 191:1151.0 192:441.0 193:41.0 196:1.0 198:113.0 200:75.0 202:154.0 203:231.0 204:1440.0 205:296.0 206:246.0 215:132.0 216:125.0 219:54.0 220:95.0 221:116.0 222:19.0 228:90.0 230:161.0 231:118.0 232:261.0 233:119.0 234:11.0 242:34.0 244:70.0 245:118.0 246:108.0 247:23.0 250:8.0 255:40.0 256:75.0 257:8.0 258:26.0 259:223.0 260:12.0 271:20.0 272:91.0 273:28.0 274:56.0 275:28.0 278:200.0 279:89.0 280:29.0 281:1.0 286:12.0 288:18.0 289:40.0 290:1.0 291:76.0 300:22.0 301:31.0 304:8.0 305:2.0 306:8.0 307:216.0 310:17.0 318:1.0 319:19.0 320:17.0 321:45.0 332:24.0 334:55.0 344:24.0 346:5.0 350:24.0 352:1.0 355:3.0 358:54.0 362:282.0 363:23.0 376:21.0 377:49.0 427:10.0 434:70.0 450:10.0 452:29.0 453:20.0 459:1.0 489:21.0</t>
  </si>
  <si>
    <t>373792</t>
  </si>
  <si>
    <t>808549</t>
  </si>
  <si>
    <t>85:38.0 89:646.0 90:9.0 95:70.0 99:6.0 101:293.0 102:70.0 103:357.0 109:6.0 111:58.0 114:58.0 116:66.0 119:21.0 129:1059.0 130:21.0 131:169.0 133:464.0 134:90.0 135:7.0 136:36.0 137:17.0 142:11.0 143:22.0 147:1138.0 151:36.0 156:8.0 157:11.0 158:24.0 159:5.0 163:28.0 170:5.0 172:125.0 173:25.0 175:7.0 176:14.0 178:3.0 179:18.0 186:43.0 187:22.0 189:106.0 191:73.0 192:5.0 195:40.0 202:14.0 203:28.0 204:57.0 205:86.0 209:41.0 210:10.0 211:442.0 212:27.0 214:49.0 217:1179.0 218:274.0 219:14.0 220:21.0 225:65.0 227:70.0 230:5.0 233:1.0 235:31.0 241:14.0 243:12.0 244:30.0 246:61.0 249:2.0 254:11.0 257:6.0 266:6.0 274:15.0 275:5.0 276:7.0 278:26.0 281:86.0 282:38.0 288:9.0 290:27.0 291:39.0 293:4.0 296:9.0 297:1.0 298:23.0 299:1249.0 300:184.0 301:178.0 302:31.0 311:7.0 314:139.0 315:1693.0 316:520.0 317:276.0 318:9.0 319:23.0 320:2.0 328:9.0 334:3.0 336:12.0 337:8.0 341:13.0 342:30.0 346:19.0 348:19.0 354:19.0 357:256.0 358:20.0 359:23.0 365:18.0 369:22.0 373:23.0 376:1.0 379:16.0 381:11.0 383:15.0 387:123.0 388:31.0 389:15.0 393:8.0 399:7.0 407:16.0 412:6.0 419:3.0 422:1.0 434:12.0 435:30.0 436:12.0 437:14.0 438:10.0 439:2.0 441:1.0 442:12.0 444:10.0 445:1.0 454:29.0 459:114.0 460:67.0 461:25.0 462:12.0 465:20.0 474:14.0 476:4.0 484:12.0 485:15.0 486:33.0 493:40.0 498:3.0</t>
  </si>
  <si>
    <t>373765</t>
  </si>
  <si>
    <t>797126</t>
  </si>
  <si>
    <t>85:581.0 86:537.0 87:577.0 89:1383.0 90:178.0 91:242.0 92:73.0 93:100.0 94:38.0 95:63.0 97:70.0 98:44.0 99:33.0 100:162.0 101:1185.0 102:275.0 103:468.0 104:73.0 105:714.0 106:66.0 107:87.0 111:176.0 113:851.0 114:117.0 115:126.0 116:358.0 117:308.0 119:273.0 121:124.0 129:2315.0 130:356.0 131:486.0 132:30.0 133:1834.0 134:76.0 135:376.0 136:43.0 137:88.0 139:28.0 140:90.0 141:21.0 142:61.0 143:220.0 144:7.0 145:82.0 146:135.0 147:3301.0 148:248.0 149:933.0 150:119.0 151:261.0 152:3.0 153:43.0 154:76.0 157:238.0 158:43.0 159:5.0 163:288.0 165:52.0 167:104.0 168:98.0 169:553.0 170:87.0 171:34.0 172:27.0 176:7.0 177:83.0 178:29.0 179:30.0 181:149.0 182:31.0 183:119.0 184:19.0 185:11.0 187:99.0 188:19.0 189:116.0 191:255.0 192:13.0 193:305.0 194:99.0 195:330.0 196:3.0 197:35.0 199:127.0 200:54.0 201:43.0 203:68.0 204:313.0 205:134.0 206:49.0 207:24.0 209:58.0 210:7.0 211:1032.0 212:66.0 213:105.0 215:79.0 216:12.0 217:3139.0 218:647.0 219:206.0 221:657.0 222:97.0 223:432.0 224:45.0 225:517.0 226:81.0 227:216.0 228:69.0 229:65.0 230:18.0 231:19.0 237:31.0 239:255.0 240:33.0 241:125.0 243:42.0 253:148.0 255:107.0 256:54.0 257:113.0 267:34.0 283:296.0 284:124.0 285:158.0 286:25.0 287:27.0 288:75.0 289:7.0 298:80.0 299:2027.0 300:642.0 301:323.0 302:52.0 303:31.0 306:7.0 313:103.0 314:192.0 315:4237.0 316:1254.0 317:514.0 318:107.0 319:44.0 329:37.0 331:12.0 332:12.0 341:129.0 342:27.0 351:11.0 357:493.0 358:160.0 359:58.0 360:7.0 369:14.0 372:23.0 373:120.0 374:18.0 387:76.0 388:45.0 389:65.0 402:7.0 403:160.0 404:41.0 405:14.0 406:12.0 459:315.0 460:141.0 461:80.0 472:12.0</t>
  </si>
  <si>
    <t>373752</t>
  </si>
  <si>
    <t>976937</t>
  </si>
  <si>
    <t>86:205.0 87:60.0 88:17.0 89:2238.0 90:237.0 93:389.0 94:240.0 95:244.0 97:735.0 98:320.0 99:1526.0 100:584.0 101:1413.0 102:605.0 103:12757.0 104:830.0 105:1244.0 106:30.0 107:64.0 108:174.0 109:168.0 110:102.0 111:335.0 112:174.0 113:282.0 114:145.0 117:6453.0 118:557.0 119:179.0 120:118.0 121:313.0 123:175.0 124:33.0 125:190.0 126:143.0 128:272.0 129:3443.0 130:389.0 131:82.0 132:248.0 133:1776.0 134:81.0 135:132.0 137:224.0 138:186.0 139:109.0 140:1727.0 141:2820.0 142:1217.0 143:682.0 145:164.0 146:21.0 147:10875.0 148:1573.0 149:2048.0 150:1074.0 151:404.0 152:61.0 153:141.0 154:87.0 155:88.0 156:364.0 157:1927.0 158:357.0 159:262.0 160:80.0 161:123.0 162:210.0 163:407.0 164:124.0 165:28.0 168:877.0 171:319.0 172:214.0 173:806.0 174:294.0 175:226.0 176:97.0 177:109.0 180:205.0 181:153.0 182:166.0 183:412.0 184:106.0 185:104.0 186:124.0 187:104.0 188:50.0 189:1091.0 190:197.0 191:296.0 192:28.0 195:177.0 196:61.0 197:23.0 198:139.0 200:174.0 201:121.0 202:59.0 203:83.0 204:1025.0 205:4917.0 206:1161.0 207:728.0 208:179.0 209:107.0 210:110.0 211:78.0 212:43.0 213:179.0 214:56.0 216:80.0 217:4127.0 218:837.0 219:380.0 220:168.0 221:282.0 222:216.0 223:115.0 224:51.0 225:33.0 227:27.0 228:320.0 229:781.0 230:199.0 231:93.0 232:2.0 234:110.0 235:17.0 236:27.0 238:47.0 239:21.0 240:319.0 241:132.0 242:100.0 243:90.0 244:132.0 246:46.0 247:39.0 248:33.0 249:124.0 252:55.0 254:2.0 255:166.0 256:140.0 258:68.0 259:97.0 260:64.0 261:4.0 262:11.0 263:10.0 265:67.0 266:132.0 267:125.0 269:27.0 270:191.0 271:61.0 272:938.0 273:261.0 274:90.0 275:6.0 277:317.0 278:100.0 282:28.0 283:72.0 284:66.0 285:103.0 286:19.0 288:4.0 289:53.0 290:36.0 291:286.0 292:182.0 293:63.0 294:39.0 297:36.0 298:23.0 300:107.0 302:17.0 303:14.0 304:20.0 305:78.0 306:152.0 307:657.0 308:260.0 309:140.0 310:84.0 311:7.0 312:17.0 314:82.0 318:35.0 319:2128.0 320:680.0 321:291.0 322:124.0 323:63.0 324:97.0 325:74.0 328:27.0 329:56.0 330:36.0 331:20.0 332:2.0 333:2.0 335:24.0 336:43.0 341:72.0 342:3.0 344:24.0 345:5.0 346:25.0 354:32.0 355:138.0 356:90.0 357:24.0 368:13.0 371:18.0 372:12.0 374:6.0 375:2.0 380:7.0 381:1.0 385:54.0 386:97.0 387:174.0 388:15.0 389:5.0 390:5.0 393:8.0 397:17.0 399:11.0 401:64.0 406:2.0 414:21.0 416:71.0 417:13.0 435:4.0 444:27.0 445:26.0 446:128.0 447:32.0 461:90.0 475:22.0 476:133.0 477:92.0 478:77.0 489:38.0 490:70.0 491:32.0 492:22.0 495:2.0</t>
  </si>
  <si>
    <t>373743</t>
  </si>
  <si>
    <t>669996</t>
  </si>
  <si>
    <t>85:7765.0 86:26440.0 88:8523.0 89:92218.0 90:8835.0 91:4093.0 92:706.0 93:1023.0 94:1229.0 95:499.0 96:4086.0 97:1280.0 98:5163.0 99:12274.0 100:51313.0 101:48518.0 102:29394.0 103:174568.0 104:18154.0 105:24286.0 106:2399.0 107:1245.0 108:269.0 109:460.0 110:3196.0 111:4363.0 112:4727.0 113:30174.0 114:7474.0 115:11078.0 116:15451.0 117:149803.0 118:17621.0 119:13498.0 120:1423.0 121:796.0 122:283.0 123:441.0 124:909.0 125:1979.0 126:4635.0 127:13510.0 128:24162.0 129:183933.0 130:33672.0 131:48184.0 132:13792.0 133:68233.0 134:9699.0 135:5758.0 136:665.0 137:2769.0 138:643.0 139:1044.0 140:3167.0 141:13950.0 142:14814.0 143:20308.0 144:22272.0 145:6217.0 146:5932.0 147:387673.0 148:59432.0 149:35759.0 150:3966.0 151:2073.0 152:2205.0 153:2860.0 154:2616.0 155:2001.0 156:3325.0 157:88099.0 158:16015.0 159:538128.0 160:69229.0 161:24151.0 162:3764.0 163:7289.0 164:1451.0 165:1983.0 166:848.0 167:1380.0 168:12138.0 169:3684.0 170:2698.0 171:3555.0 172:6750.0 173:5493.0 174:2675.0 175:4801.0 176:1468.0 177:2984.0 178:762.0 179:995.0 180:626.0 181:1142.0 182:1043.0 183:1027.0 184:825.0 185:2523.0 186:2697.0 187:2066.0 188:4917.0 189:23455.0 190:9287.0 191:8503.0 192:1747.0 193:1222.0 194:332.0 195:2872.0 196:1162.0 197:917.0 198:830.0 199:1681.0 200:4623.0 201:18154.0 202:5297.0 204:31824.0 205:188578.0 206:38205.0 207:18739.0 208:2796.0 209:1440.0 210:489.0 211:526.0 212:547.0 213:2700.0 214:4319.0 215:7260.0 216:15226.0 217:66104.0 218:12598.0 219:6374.0 220:1195.0 221:4657.0 222:1265.0 223:919.0 224:405.0 225:338.0 226:599.0 227:3493.0 228:2138.0 229:29629.0 230:9822.0 231:8410.0 232:13249.0 233:4675.0 234:2395.0 235:804.0 236:298.0 237:392.0 238:292.0 239:624.0 240:4416.0 241:2894.0 242:3859.0 243:4501.0 244:4683.0 245:2000.0 246:1345.0 247:861.0 248:417.0 249:330.0 250:138.0 251:338.0 252:294.0 253:468.0 254:379.0 255:1152.0 256:969.0 257:571.0 258:3528.0 259:1225.0 260:1114.0 261:3429.0 262:1001.0 263:582.0 264:195.0 265:257.0 266:94.0 267:2403.0 268:1537.0 269:1058.0 271:379.0 272:407.0 273:11175.0 274:3018.0 275:1498.0 276:361.0 277:4117.0 278:2447.0 279:905.0 280:80.0 283:133.0 284:67.0 285:1397.0 286:464.0 287:440.0 288:1036.0 289:768.0 290:2030.0 291:9101.0 292:2761.0 293:1309.0 294:230.0 295:51.0 297:9.0 299:343.0 300:252.0 301:1125.0 302:611.0 303:3542.0 304:7227.0 305:5968.0 306:2796.0 307:3527.0 308:1204.0 309:448.0 310:53.0 313:51.0 314:533.0 315:433.0 316:1541.0 317:1243.0 318:1554.0 319:104073.0 320:33550.0 321:15790.0 322:3355.0 323:762.0 324:84.0 325:47.0 326:73.0 327:129.0 328:260.0 329:451.0 330:1574.0 331:624.0 332:2634.0 333:1197.0 334:901.0 335:725.0 336:214.0 337:54.0 338:4.0 339:3.0 341:321.0 342:480.0 343:602.0 344:145.0 345:79.0 346:189.0 347:151.0 348:215.0 349:67.0 350:3.0 351:7.0 355:47.0 356:100.0 357:2006.0 358:947.0 359:605.0 360:162.0 361:97.0 364:23.0 368:10.0 371:9.0 373:391.0 374:168.0 375:856.0 376:298.0 377:90.0 378:76.0 380:47.0 387:8.0 388:10.0 389:179.0 390:107.0 391:256.0 392:116.0 393:93.0 394:9.0 400:25.0 404:138.0 405:177.0 406:89.0 407:17.0 408:24.0 409:9.0 417:37.0 419:92.0 420:979.0 421:525.0 422:712.0 423:216.0 424:58.0 431:213.0 432:116.0 433:112.0 436:156.0 437:141.0 438:26.0 439:15.0 445:2.0 446:249.0 447:2686.0 448:1666.0 449:840.0 450:216.0 451:80.0 462:55.0 463:904.0 464:511.0 465:389.0 466:65.0 479:35.0 481:57.0 482:8.0</t>
  </si>
  <si>
    <t>373741</t>
  </si>
  <si>
    <t>868249</t>
  </si>
  <si>
    <t>85:257.0 86:82.0 87:3083.0 88:35.0 89:114.0 97:139.0 98:129.0 99:291.0 100:463.0 101:837.0 102:18.0 103:330.0 107:9.0 110:16.0 112:286.0 113:237.0 114:157.0 115:7.0 116:494.0 117:320.0 118:39.0 119:57.0 121:12.0 123:34.0 126:7.0 128:107.0 129:2245.0 130:309.0 131:463.0 133:479.0 134:179.0 135:219.0 136:50.0 137:170.0 138:10.0 140:24.0 141:93.0 142:89.0 143:227.0 144:178.0 145:76.0 147:1119.0 148:108.0 149:213.0 151:11.0 152:60.0 153:107.0 154:16.0 155:52.0 156:90.0 157:557.0 158:190.0 159:67.0 163:68.0 165:8.0 166:21.0 167:39.0 168:92.0 170:93.0 171:194.0 172:392.0 173:158.0 174:50.0 175:6.0 176:26.0 177:56.0 179:6.0 181:89.0 182:19.0 183:33.0 184:104.0 185:80.0 187:27.0 188:507.0 189:273.0 190:12.0 191:150.0 193:65.0 195:193.0 196:62.0 197:86.0 198:16.0 200:160.0 201:57.0 202:95.0 203:48.0 204:121.0 205:39.0 206:3.0 207:122.0 208:61.0 209:97.0 210:78.0 211:612.0 212:200.0 213:101.0 215:50.0 216:11.0 217:675.0 218:115.0 219:52.0 220:19.0 224:7.0 225:237.0 226:54.0 227:205.0 228:30.0 229:73.0 230:98.0 231:227.0 232:26.0 238:12.0 239:17.0 240:18.0 241:31.0 243:336.0 244:39.0 245:22.0 246:10.0 247:18.0 248:23.0 249:26.0 253:69.0 254:31.0 255:76.0 258:8.0 260:10.0 269:90.0 274:129.0 275:7.0 281:14.0 282:28.0 285:80.0 286:16.0 287:8.0 289:9.0 297:5.0 298:8.0 299:967.0 300:262.0 301:191.0 302:7.0 304:21.0 305:1937.0 306:509.0 307:245.0 308:31.0 313:3.0 314:45.0 315:681.0 316:131.0 317:62.0 318:122.0 319:30.0 328:37.0 333:62.0 334:27.0 341:102.0 342:22.0 343:42.0 347:1.0 351:6.0 357:631.0 358:179.0 359:198.0 360:38.0 361:56.0 374:11.0 382:20.0 386:59.0 387:1043.0 388:451.0 389:286.0 390:88.0 401:21.0 402:1.0 405:5.0 406:59.0 408:18.0 414:2.0 433:37.0 449:5.0 458:6.0 459:10.0 470:9.0 471:118.0 472:16.0 473:12.0 483:5.0 500:1.0</t>
  </si>
  <si>
    <t>373730</t>
  </si>
  <si>
    <t>696929</t>
  </si>
  <si>
    <t>230</t>
  </si>
  <si>
    <t>85:479.0 86:387.0 87:347.0 88:314.0 89:1453.0 90:21.0 91:153.0 92:15.0 93:100.0 94:139.0 95:306.0 96:409.0 97:156.0 98:205.0 99:652.0 100:558.0 101:3301.0 102:511.0 103:776.0 105:545.0 106:141.0 107:18.0 111:490.0 112:261.0 113:532.0 114:431.0 115:375.0 116:2004.0 117:514.0 118:174.0 119:432.0 121:99.0 122:42.0 123:482.0 124:41.0 125:58.0 126:262.0 128:1580.0 129:3059.0 130:506.0 131:967.0 132:353.0 133:2977.0 134:202.0 135:226.0 136:101.0 137:49.0 138:47.0 140:149.0 141:259.0 142:1032.0 143:477.0 144:1210.0 145:124.0 146:84.0 147:5352.0 148:552.0 149:590.0 150:85.0 152:107.0 153:158.0 154:404.0 155:401.0 156:281.0 157:230.0 158:239.0 159:237.0 160:94.0 161:88.0 163:219.0 164:45.0 165:21.0 166:41.0 167:124.0 168:786.0 169:426.0 170:456.0 171:8117.0 172:1163.0 173:746.0 174:164.0 175:151.0 178:6.0 179:122.0 180:45.0 181:16.0 182:43.0 183:68.0 184:93.0 185:332.0 186:513.0 187:163.0 188:74.0 189:271.0 190:9.0 191:351.0 193:30.0 194:27.0 195:812.0 196:236.0 197:303.0 198:71.0 199:7.0 200:66.0 201:613.0 202:103.0 203:244.0 204:374.0 205:72.0 209:29.0 210:370.0 211:86.0 212:186.0 213:2403.0 214:473.0 215:250.0 216:131.0 217:1022.0 218:193.0 219:47.0 221:46.0 222:34.0 223:27.0 225:1.0 226:46.0 227:3.0 228:49.0 229:56.0 230:7984.0 231:1943.0 232:866.0 233:135.0 234:3.0 235:1.0 236:7.0 237:198.0 238:56.0 240:2.0 242:105.0 243:106.0 244:712.0 245:111.0 246:83.0 247:7.0 251:3.0 256:35.0 258:260.0 259:39.0 260:69.0 261:14.0 268:28.0 269:104.0 270:12.0 271:7.0 272:6.0 274:43.0 277:5.0 283:28.0 284:37.0 285:363.0 286:129.0 287:49.0 288:35.0 289:11.0 291:239.0 292:45.0 293:347.0 294:33.0 295:24.0 299:40.0 300:187.0 301:103.0 303:10.0 305:257.0 306:67.0 310:31.0 312:22.0 315:3.0 316:70.0 317:57.0 318:23.0 320:20.0 321:1.0 327:1285.0 328:335.0 329:113.0 333:10.0 345:41.0 346:24.0 348:15.0 356:3.0 358:175.0 359:100.0 360:36.0 377:1.0 385:7.0 390:15.0 402:10.0 405:63.0 406:20.0 410:3.0 417:68.0 419:5.0 424:4.0 430:1.0 433:159.0 434:47.0 435:39.0 436:3.0 445:6.0 448:303.0 449:196.0 465:17.0 477:15.0 486:12.0</t>
  </si>
  <si>
    <t>373726</t>
  </si>
  <si>
    <t>670913</t>
  </si>
  <si>
    <t>203</t>
  </si>
  <si>
    <t>85:1477.0 86:1396.0 88:109.0 89:6261.0 90:979.0 91:384.0 92:220.0 93:44.0 94:156.0 95:111.0 96:179.0 98:920.0 99:1538.0 100:14694.0 101:6569.0 102:3095.0 103:14073.0 104:1762.0 105:898.0 106:323.0 108:746.0 110:1020.0 111:674.0 112:768.0 113:1511.0 114:1722.0 115:5024.0 116:2323.0 117:11984.0 118:1771.0 119:1385.0 120:306.0 121:112.0 122:32.0 124:427.0 125:141.0 126:606.0 128:4291.0 129:8924.0 130:3681.0 131:13223.0 132:3085.0 133:9630.0 134:1045.0 135:1008.0 136:205.0 137:168.0 138:66.0 139:21.0 140:933.0 141:965.0 142:3227.0 143:2944.0 144:2213.0 145:918.0 146:1017.0 147:32663.0 148:4435.0 149:4488.0 150:254.0 151:373.0 152:1480.0 153:332.0 154:685.0 155:375.0 156:1340.0 157:1940.0 158:513.0 160:172.0 161:345.0 162:1507.0 163:631.0 164:169.0 165:60.0 167:97.0 168:779.0 169:770.0 170:377.0 171:82.0 172:1520.0 173:894.0 174:901.0 175:229.0 176:614.0 177:861.0 178:179.0 179:209.0 180:372.0 181:254.0 182:248.0 183:6.0 184:368.0 185:139.0 186:423.0 187:335.0 188:3719.0 189:3416.0 190:1369.0 191:2866.0 192:574.0 193:162.0 195:120.0 196:185.0 197:216.0 198:18.0 199:159.0 200:737.0 201:874.0 202:1357.0 203:104036.0 204:24703.0 205:13758.0 206:1456.0 207:499.0 209:42.0 210:59.0 211:12.0 212:112.0 214:703.0 215:376.0 216:10489.0 217:13836.0 218:4915.0 219:1684.0 220:714.0 221:816.0 222:371.0 223:111.0 224:170.0 226:218.0 227:90.0 228:683.0 229:606.0 230:532.0 231:1229.0 232:1329.0 233:596.0 234:156.0 240:542.0 241:385.0 242:626.0 243:250.0 244:652.0 245:161.0 246:404.0 247:161.0 248:128.0 249:47.0 250:31.0 254:173.0 256:152.0 257:169.0 258:82.0 259:342.0 260:79.0 261:143.0 262:58.0 263:72.0 264:58.0 265:31.0 266:20.0 267:215.0 270:275.0 271:249.0 272:74.0 273:286.0 274:138.0 275:150.0 276:28.0 277:164.0 278:148.0 282:8.0 285:67.0 287:8.0 288:34.0 289:114.0 290:697.0 291:506.0 292:264.0 301:69.0 302:225.0 303:124.0 304:3847.0 305:1548.0 306:994.0 307:83.0 308:50.0 314:29.0 316:118.0 317:154.0 318:198.0 319:491.0 322:74.0 326:6.0 328:8.0 330:45.0 331:392.0 332:236.0 333:53.0 334:66.0 342:116.0 343:34.0 344:480.0 345:240.0 346:344.0 347:85.0 348:10.0 354:58.0 355:52.0 358:102.0 360:41.0 361:19.0 362:77.0 363:8.0 364:1.0 376:53.0 379:22.0 382:7.0 385:21.0 388:1.0 391:92.0 395:1.0 397:1.0 401:12.0 420:90.0 429:21.0 433:28.0 434:654.0 435:300.0 436:179.0 437:19.0 444:29.0 445:3.0 447:30.0 450:10.0 452:36.0 465:23.0 487:8.0 499:12.0</t>
  </si>
  <si>
    <t>373725</t>
  </si>
  <si>
    <t>659917</t>
  </si>
  <si>
    <t>85:2004.0 86:2266.0 87:447.0 88:818.0 89:7575.0 90:1090.0 91:74.0 92:216.0 93:244.0 94:449.0 95:57.0 96:618.0 97:166.0 98:926.0 99:2049.0 100:21982.0 101:8243.0 102:5575.0 103:19845.0 104:2395.0 105:1616.0 106:270.0 107:259.0 108:1248.0 109:197.0 110:742.0 111:958.0 112:1106.0 113:1722.0 114:1650.0 115:5940.0 116:4980.0 117:18848.0 118:2721.0 119:2261.0 120:227.0 121:186.0 122:90.0 123:6.0 124:196.0 125:231.0 126:766.0 127:352.0 128:7049.0 129:10771.0 130:6729.0 131:20546.0 132:5143.0 133:13761.0 134:3165.0 135:1012.0 136:220.0 138:40.0 139:163.0 140:930.0 141:866.0 142:3739.0 143:3034.0 144:2294.0 145:1891.0 146:3051.0 147:48657.0 148:7882.0 149:5987.0 150:929.0 151:380.0 152:2520.0 153:641.0 154:1090.0 155:419.0 156:2486.0 157:761.0 158:1153.0 159:403.0 161:189.0 162:2364.0 163:696.0 164:358.0 165:206.0 166:96.0 167:11.0 168:1045.0 169:486.0 170:752.0 171:443.0 172:2724.0 173:1599.0 174:1521.0 175:750.0 176:330.0 177:1343.0 178:179.0 179:71.0 180:462.0 181:183.0 182:512.0 183:141.0 184:240.0 185:125.0 186:45.0 187:1282.0 188:6186.0 189:4835.0 190:2471.0 191:4739.0 192:1066.0 193:504.0 194:93.0 195:148.0 196:249.0 198:394.0 199:109.0 200:3354.0 201:1063.0 202:2290.0 203:158645.0 204:35604.0 205:15843.0 206:3288.0 207:1016.0 208:379.0 209:152.0 211:73.0 213:93.0 214:1218.0 215:993.0 216:18308.0 217:19700.0 218:8548.0 219:2725.0 220:822.0 221:1446.0 222:263.0 223:114.0 224:95.0 225:111.0 226:448.0 227:144.0 228:650.0 229:390.0 230:847.0 231:2486.0 232:871.0 233:514.0 234:255.0 235:73.0 238:86.0 240:632.0 241:346.0 242:448.0 243:255.0 244:251.0 245:266.0 246:110.0 247:204.0 248:86.0 249:3.0 250:3.0 252:14.0 254:96.0 255:115.0 256:281.0 257:40.0 258:133.0 259:82.0 260:87.0 261:95.0 262:323.0 263:32.0 265:288.0 266:101.0 270:225.0 271:6.0 272:260.0 273:140.0 274:113.0 275:20.0 276:51.0 277:236.0 279:115.0 288:218.0 289:60.0 290:1259.0 291:1229.0 292:483.0 293:135.0 294:3.0 297:19.0 301:9.0 302:296.0 303:317.0 304:7953.0 305:3095.0 306:1782.0 307:419.0 308:40.0 311:26.0 314:25.0 315:41.0 316:442.0 317:317.0 318:139.0 320:28.0 324:58.0 326:29.0 328:126.0 329:68.0 330:302.0 331:689.0 332:316.0 333:187.0 334:248.0 336:18.0 337:33.0 338:58.0 342:149.0 344:671.0 345:150.0 346:227.0 349:9.0 350:11.0 351:19.0 352:5.0 354:20.0 358:43.0 360:154.0 361:24.0 362:55.0 364:25.0 366:6.0 369:11.0 372:3.0 377:87.0 378:82.0 381:9.0 384:1.0 385:48.0 386:3.0 388:20.0 391:22.0 392:110.0 394:47.0 397:25.0 402:3.0 403:24.0 406:82.0 407:73.0 411:33.0 412:17.0 415:21.0 416:25.0 421:33.0 423:12.0 424:21.0 428:13.0 433:52.0 434:1069.0 435:488.0 436:273.0 437:156.0 438:47.0 440:19.0 449:62.0 450:10.0 451:5.0 465:9.0 470:17.0 472:10.0 473:9.0 475:17.0 479:7.0 480:57.0 482:48.0 485:30.0 496:28.0 498:1.0 499:34.0</t>
  </si>
  <si>
    <t>373720</t>
  </si>
  <si>
    <t>982758</t>
  </si>
  <si>
    <t>85:152.0 86:1194.0 87:648.0 88:553.0 91:210.0 93:37.0 95:336.0 96:87.0 97:927.0 98:527.0 99:332.0 101:29.0 104:2596.0 105:342.0 106:45.0 107:65.0 109:15.0 110:34.0 111:70.0 113:36.0 114:432.0 119:9.0 123:18.0 127:135.0 128:97.0 129:2458.0 130:158.0 133:89.0 135:34.0 138:54.0 140:425.0 141:202.0 142:437.0 143:54.0 145:19.0 146:4.0 147:1249.0 148:682.0 157:19.0 164:5.0 165:83.0 177:13.0 179:95.0 189:31.0 191:108.0 192:25.0 193:144.0 194:82.0 195:2.0 206:18.0 207:865.0 208:343.0 209:165.0 212:2.0 213:2.0 221:836.0 222:268.0 223:80.0 225:18.0 230:1.0 238:15.0 249:41.0 251:51.0 252:3.0 253:23.0 254:17.0 261:22.0 265:44.0 267:128.0 268:102.0 269:4.0 279:2.0 281:626.0 282:248.0 283:169.0 284:84.0 294:5.0 295:200.0 296:42.0 298:14.0 307:79.0 321:8.0 323:5.0 325:49.0 326:13.0 327:65.0 328:6.0 336:8.0 340:4.0 341:121.0 342:94.0 343:44.0 348:19.0 352:17.0 354:11.0 355:465.0 356:222.0 357:133.0 359:34.0 369:23.0 370:23.0 373:27.0 383:2.0 385:7.0 401:64.0 402:22.0 404:5.0 413:1.0 415:34.0 429:295.0 430:82.0 431:88.0 434:19.0 436:8.0 441:1.0 443:16.0 444:7.0 456:2.0 458:2.0 464:11.0 475:50.0 489:40.0 490:9.0 493:8.0</t>
  </si>
  <si>
    <t>373670</t>
  </si>
  <si>
    <t>559233</t>
  </si>
  <si>
    <t>244</t>
  </si>
  <si>
    <t>85:450.0 86:238.0 87:241.0 88:462.0 89:7505.0 90:549.0 91:396.0 94:80.0 95:21.0 98:195.0 99:486.0 100:751.0 101:1853.0 102:370.0 103:6789.0 104:751.0 105:1245.0 106:3.0 107:2.0 109:35.0 110:323.0 111:178.0 112:38.0 113:591.0 114:1345.0 115:796.0 116:590.0 117:1207.0 118:81.0 119:347.0 124:252.0 125:4.0 126:151.0 127:245.0 128:843.0 129:4110.0 130:481.0 131:1390.0 132:52.0 133:2874.0 134:268.0 135:152.0 140:193.0 141:103.0 142:4073.0 143:1122.0 144:589.0 145:218.0 147:3736.0 148:596.0 149:294.0 154:153.0 155:65.0 156:337.0 157:253.0 158:465.0 159:189.0 160:4.0 161:31.0 163:2408.0 164:410.0 165:44.0 168:373.0 169:46.0 170:276.0 171:26.0 172:334.0 173:2108.0 174:686.0 175:213.0 177:54.0 181:45.0 184:145.0 185:34.0 186:94.0 187:5.0 188:177.0 189:364.0 190:220.0 191:504.0 192:7.0 193:10.0 196:416.0 197:52.0 198:50.0 200:71.0 201:42.0 203:110.0 204:116.0 205:46.0 214:424.0 215:149.0 216:99.0 217:834.0 218:177.0 219:54.0 228:11.0 229:19.0 230:85.0 231:48.0 232:43.0 233:36.0 240:129.0 244:4173.0 245:1085.0 246:468.0 247:67.0 256:71.0 257:3.0 258:229.0 259:22.0 260:140.0 265:15.0 272:17.0 274:19.0 275:82.0 286:656.0 287:155.0 288:39.0 305:25.0 306:414.0 307:78.0 308:26.0 317:7.0 330:51.0 376:33.0 377:1.0 407:561.0 408:157.0 409:61.0 450:3.0 460:4.0 466:2.0</t>
  </si>
  <si>
    <t>372926</t>
  </si>
  <si>
    <t>1075918</t>
  </si>
  <si>
    <t>85:4019.0 86:469.0 87:800.0 88:347.0 89:2410.0 90:354.0 91:30157.0 92:5186.0 93:23035.0 94:4352.0 95:29508.0 96:2762.0 97:6466.0 98:646.0 99:1820.0 100:271.0 101:3342.0 102:681.0 103:2908.0 104:1985.0 105:26861.0 106:5928.0 107:20064.0 108:4033.0 109:12508.0 110:1814.0 111:4006.0 112:430.0 113:1270.0 114:303.0 115:5233.0 116:2990.0 117:10086.0 118:3291.0 119:21290.0 120:9611.0 121:17207.0 122:3022.0 123:5196.0 124:519.0 125:1704.0 126:223.0 127:1343.0 128:3353.0 129:55011.0 130:9612.0 131:13485.0 132:4145.0 133:11379.0 134:2981.0 135:7264.0 136:1315.0 137:2184.0 138:310.0 139:773.0 140:138.0 141:2003.0 142:1841.0 143:9325.0 144:3233.0 145:16281.0 146:4294.0 147:7773.0 148:2473.0 149:4089.0 150:744.0 151:1560.0 152:417.0 153:944.0 154:411.0 155:3663.0 156:1319.0 157:4343.0 158:2248.0 159:9207.0 160:6138.0 161:7056.0 162:1935.0 163:4752.0 164:824.0 165:1548.0 166:396.0 167:658.0 168:707.0 169:1682.0 170:552.0 171:2775.0 172:1057.0 173:4121.0 174:1822.0 175:2889.0 176:481.0 177:1934.0 178:427.0 179:1222.0 180:277.0 181:1197.0 182:698.0 183:870.0 184:417.0 185:2110.0 186:620.0 187:1494.0 188:576.0 189:1921.0 190:359.0 191:1063.0 192:218.0 193:1125.0 194:383.0 195:538.0 196:500.0 197:934.0 198:408.0 199:2076.0 200:854.0 201:1831.0 202:462.0 203:2275.0 204:464.0 205:906.0 206:607.0 207:1312.0 208:437.0 209:527.0 210:143.0 211:331.0 212:220.0 213:3605.0 214:1122.0 215:1721.0 216:380.0 217:1660.0 218:436.0 219:1366.0 220:346.0 221:396.0 222:107.0 223:46.0 224:76.0 225:133.0 226:76.0 227:757.0 228:673.0 229:823.0 230:232.0 231:478.0 232:105.0 233:1460.0 234:301.0 235:289.0 236:54.0 237:103.0 238:54.0 239:192.0 240:57.0 241:581.0 242:224.0 243:287.0 244:132.0 245:765.0 246:417.0 247:2969.0 248:605.0 249:361.0 250:158.0 251:150.0 252:6.0 253:206.0 254:228.0 255:3406.0 256:783.0 257:314.0 258:109.0 259:775.0 260:486.0 261:370.0 262:35.0 263:44.0 264:38.0 265:53.0 267:99.0 268:66.0 269:103.0 270:92.0 271:124.0 272:119.0 273:377.0 274:419.0 275:808.0 276:183.0 277:23.0 278:9.0 280:44.0 281:286.0 282:49.0 283:283.0 284:116.0 285:80.0 286:49.0 287:197.0 288:59.0 289:119.0 290:68.0 291:141.0 292:28.0 293:4.0 294:9.0 295:7.0 297:169.0 298:27.0 299:266.0 300:206.0 301:651.0 302:182.0 303:70.0 304:23.0 306:16.0 311:235.0 312:62.0 313:271.0 314:178.0 315:121.0 316:20.0 317:29.0 318:29.0 319:12.0 320:7.0 325:189.0 326:509.0 327:598.0 328:1809.0 329:6876.0 330:2757.0 331:476.0 332:65.0 337:2.0 338:8.0 339:124.0 340:317.0 341:123.0 342:102.0 343:106.0 344:12.0 345:49.0 346:59.0 347:6.0 348:13.0 349:22.0 351:23.0 352:73.0 353:3003.0 354:1505.0 355:321.0 356:82.0 357:34.0 358:11.0 361:21.0 362:2.0 364:4.0 365:6.0 366:20.0 367:289.0 368:5873.0 369:2918.0 370:619.0 371:85.0 372:5.0 373:34.0 377:13.0 385:1.0 390:7.0 395:13.0 401:25.0 402:6.0 415:31.0 416:52.0 417:25.0 423:11.0 425:1.0 426:14.0 429:18.0 430:86.0 431:44.0 433:14.0 434:16.0 442:34.0 443:676.0 444:533.0 445:186.0 455:4.0 456:14.0 457:230.0 458:2041.0 459:1372.0 460:502.0 461:176.0 487:3.0 489:13.0</t>
  </si>
  <si>
    <t>372854</t>
  </si>
  <si>
    <t>554276</t>
  </si>
  <si>
    <t>85:105.0 86:206.0 87:97.0 88:152.0 89:91.0 90:101.0 96:73.0 98:326.0 99:217.0 100:1727.0 101:250.0 102:233.0 103:303.0 107:127.0 108:139.0 113:83.0 114:291.0 115:349.0 116:5080.0 117:557.0 118:209.0 119:15.0 125:84.0 128:227.0 129:82.0 130:629.0 131:885.0 132:2193.0 133:574.0 138:4.0 139:15.0 141:1373.0 142:339.0 143:199.0 144:238.0 146:176.0 147:1605.0 148:362.0 149:301.0 154:2.0 155:18.0 157:55.0 158:106.0 159:518.0 160:23.0 161:8.0 169:63.0 171:8.0 172:78.0 173:109.0 174:76.0 176:42.0 177:20.0 181:29.0 184:157.0 185:7.0 186:70.0 188:1125.0 189:188.0 190:190.0 199:88.0 201:5.0 202:393.0 203:24.0 204:105.0 205:45.0 206:25.0 211:31.0 213:25.0 214:3.0 215:149.0 216:109.0 217:57.0 218:331.0 219:34.0 220:34.0 229:10.0 230:22.0 231:1221.0 232:263.0 233:126.0 234:13.0 243:58.0 245:32.0 258:196.0 259:49.0 260:13.0 261:1.0 262:12.0 288:12.0 296:11.0 302:2.0 316:57.0 321:1.0 338:21.0 342:26.0 346:28.0 348:38.0 368:6.0 374:8.0 376:5.0 381:4.0 384:16.0 386:3.0 394:3.0 399:5.0 412:10.0 429:29.0 438:3.0 451:17.0 453:13.0 463:8.0 469:4.0 471:18.0 473:11.0 480:4.0 485:8.0</t>
  </si>
  <si>
    <t>372853</t>
  </si>
  <si>
    <t>1244631</t>
  </si>
  <si>
    <t>311</t>
  </si>
  <si>
    <t>85:440.0 89:133.0 91:154.0 93:243.0 94:113.0 95:1664.0 96:829.0 97:599.0 98:484.0 99:238.0 100:125.0 101:141.0 103:1064.0 104:174.0 106:61.0 107:78.0 109:721.0 110:197.0 111:322.0 112:130.0 113:395.0 114:63.0 115:245.0 116:10.0 121:145.0 122:103.0 123:247.0 124:104.0 125:130.0 127:234.0 129:7403.0 130:832.0 133:69.0 135:181.0 137:16.0 138:74.0 140:24.0 141:49.0 142:469.0 143:127.0 144:63.0 151:35.0 152:6.0 153:87.0 154:90.0 155:677.0 156:77.0 157:324.0 158:16.0 162:83.0 163:307.0 164:56.0 165:96.0 166:34.0 167:70.0 168:61.0 169:28.0 170:87.0 171:7.0 175:2.0 176:13.0 177:60.0 179:67.0 182:25.0 183:9.0 185:3.0 187:7.0 190:27.0 191:71.0 192:17.0 193:57.0 194:93.0 195:113.0 196:3.0 200:25.0 205:15.0 206:48.0 207:428.0 208:289.0 209:94.0 210:74.0 212:1.0 213:3.0 215:21.0 216:40.0 217:43.0 221:107.0 222:89.0 223:30.0 224:75.0 225:4.0 226:30.0 227:25.0 229:4.0 230:10.0 232:18.0 236:30.0 238:3.0 239:30.0 241:15.0 243:21.0 244:30.0 247:6.0 248:4.0 249:45.0 250:50.0 251:57.0 252:67.0 253:45.0 255:1.0 262:24.0 263:16.0 264:61.0 265:107.0 266:16.0 269:28.0 271:25.0 277:1.0 280:428.0 281:560.0 282:82.0 283:94.0 284:29.0 285:70.0 287:6.0 293:8.0 294:24.0 295:75.0 296:39.0 299:34.0 305:3.0 310:40.0 311:5074.0 312:1771.0 313:331.0 314:82.0 315:14.0 317:23.0 318:8.0 319:1.0 320:41.0 323:21.0 326:30.0 327:18.0 328:25.0 329:14.0 330:4.0 332:1.0 333:2.0 334:1.0 335:15.0 337:6.0 338:100.0 339:40.0 341:129.0 342:67.0 343:30.0 344:29.0 345:23.0 346:18.0 347:27.0 348:10.0 350:8.0 352:12.0 353:83.0 354:16.0 355:72.0 356:37.0 357:29.0 359:8.0 360:10.0 367:18.0 368:12.0 369:33.0 370:1.0 372:7.0 373:6.0 375:10.0 377:1.0 378:6.0 379:26.0 381:26.0 382:1.0 383:16.0 385:16.0 386:10.0 389:24.0 390:21.0 392:17.0 393:1.0 395:19.0 399:3.0 400:24.0 402:2.0 403:3.0 405:18.0 406:12.0 408:1.0 409:36.0 410:6.0 414:26.0 415:19.0 417:41.0 418:9.0 420:1.0 424:4.0 428:17.0 429:66.0 431:61.0 432:12.0 433:1.0 434:2.0 437:7.0 439:24.0 441:21.0 443:9.0 444:1.0 445:10.0 446:10.0 447:18.0 448:36.0 449:30.0 453:3.0 455:40.0 456:21.0 458:7.0 460:2.0 465:17.0 466:23.0 468:20.0 472:20.0 473:8.0 474:28.0 475:8.0 476:6.0 478:10.0 483:4.0 485:6.0 488:21.0 489:23.0 490:79.0 491:30.0 493:8.0 494:3.0 496:15.0 497:8.0</t>
  </si>
  <si>
    <t>372849</t>
  </si>
  <si>
    <t>618455</t>
  </si>
  <si>
    <t>273</t>
  </si>
  <si>
    <t>85:348.0 86:278.0 87:352.0 88:83.0 89:315.0 90:60.0 92:9.0 94:25.0 95:328.0 97:321.0 99:1403.0 100:223.0 101:579.0 102:249.0 103:268.0 104:36.0 105:73.0 110:40.0 111:744.0 113:228.0 114:66.0 115:1522.0 116:484.0 117:1187.0 118:169.0 119:277.0 120:19.0 124:68.0 125:27.0 128:123.0 129:2216.0 130:299.0 131:1409.0 132:147.0 133:3773.0 134:614.0 135:321.0 136:11.0 139:283.0 141:592.0 142:13.0 143:1218.0 144:160.0 145:65.0 147:19030.0 148:2778.0 149:2973.0 150:357.0 151:289.0 152:71.0 153:38.0 155:28.0 157:438.0 158:33.0 159:105.0 160:2.0 161:151.0 162:26.0 163:330.0 164:49.0 165:45.0 169:206.0 171:391.0 172:69.0 173:120.0 175:47.0 177:51.0 183:2816.0 184:587.0 185:918.0 186:119.0 187:56.0 188:30.0 189:319.0 190:196.0 191:245.0 192:16.0 193:20.0 199:47.0 201:166.0 203:2.0 204:127.0 205:243.0 206:9.0 207:346.0 208:27.0 209:5.0 211:3018.0 212:561.0 213:572.0 214:72.0 215:490.0 216:104.0 217:846.0 218:143.0 219:104.0 220:7.0 221:1232.0 222:299.0 223:156.0 225:8.0 226:34.0 229:354.0 230:41.0 231:691.0 232:177.0 233:56.0 235:15.0 237:44.0 243:47.0 244:51.0 245:179.0 246:82.0 247:13.0 251:17.0 253:5.0 254:1.0 256:7.0 257:1561.0 258:398.0 259:253.0 260:68.0 263:5.0 266:4.0 272:53.0 273:9861.0 274:2239.0 275:1132.0 276:242.0 277:39.0 280:5.0 285:368.0 286:88.0 287:99.0 289:45.0 291:82.0 292:51.0 293:25.0 300:52.0 301:238.0 303:270.0 304:93.0 305:615.0 306:155.0 307:101.0 309:17.0 315:1.0 319:117.0 320:47.0 321:21.0 322:22.0 331:52.0 332:1.0 333:122.0 334:34.0 335:11.0 336:13.0 338:7.0 340:5.0 343:2.0 345:2.0 346:62.0 347:1901.0 348:710.0 349:368.0 350:99.0 351:34.0 363:1266.0 364:481.0 365:231.0 366:97.0 374:39.0 375:1640.0 376:537.0 377:275.0 378:26.0 397:5.0 413:11.0 420:1.0 434:18.0 437:4.0 438:21.0 440:3.0 441:5.0 448:3.0 453:10.0 458:1.0 460:11.0 464:61.0 465:493.0 466:236.0 467:123.0 468:50.0 469:5.0 472:28.0 479:1.0 485:11.0 490:7.0 498:13.0</t>
  </si>
  <si>
    <t>372272</t>
  </si>
  <si>
    <t>753219</t>
  </si>
  <si>
    <t>85:523.0 86:289.0 87:210.0 89:907.0 98:149.0 99:239.0 100:406.0 101:3403.0 102:347.0 103:5810.0 104:389.0 105:343.0 107:103.0 108:10.0 109:10.0 111:86.0 113:600.0 114:149.0 115:229.0 116:1900.0 117:2356.0 118:117.0 119:299.0 121:128.0 123:41.0 124:21.0 129:4671.0 130:724.0 131:1320.0 132:205.0 133:3310.0 134:418.0 135:2370.0 136:249.0 137:168.0 140:52.0 141:113.0 142:224.0 143:404.0 144:19.0 147:7493.0 148:1402.0 149:1216.0 150:76.0 151:159.0 153:59.0 155:776.0 156:94.0 157:610.0 158:39.0 160:60.0 163:152.0 165:82.0 169:77.0 170:383.0 171:332.0 172:97.0 174:285.0 175:97.0 176:50.0 177:94.0 178:155.0 179:122.0 181:248.0 183:51.0 189:407.0 190:242.0 191:591.0 192:8.0 193:231.0 194:14.0 195:246.0 197:393.0 198:4.0 199:69.0 200:29.0 203:123.0 204:715.0 205:916.0 206:171.0 207:460.0 208:151.0 209:92.0 211:1389.0 212:293.0 215:45.0 217:3346.0 218:1183.0 219:403.0 220:32.0 221:118.0 222:17.0 223:44.0 225:434.0 226:12.0 227:162.0 228:22.0 229:53.0 230:44.0 231:5.0 234:16.0 242:131.0 243:595.0 244:93.0 245:155.0 247:167.0 248:55.0 249:14.0 251:32.0 253:92.0 255:43.0 267:4.0 269:36.0 277:4.0 279:37.0 283:61.0 285:71.0 288:28.0 290:10.0 298:105.0 299:3927.0 300:973.0 301:620.0 302:36.0 304:8.0 305:11.0 306:41.0 307:56.0 308:31.0 311:29.0 313:67.0 314:358.0 315:2262.0 316:655.0 317:376.0 318:84.0 319:145.0 324:9.0 325:4.0 328:67.0 329:35.0 332:65.0 333:21.0 337:29.0 341:225.0 342:140.0 343:42.0 344:5.0 353:7.0 356:10.0 357:1493.0 358:441.0 359:181.0 360:36.0 369:192.0 370:415.0 371:182.0 372:36.0 373:59.0 374:26.0 375:26.0 380:21.0 384:26.0 386:104.0 387:1412.0 388:505.0 389:341.0 390:109.0 391:5.0 403:194.0 404:55.0 428:9.0 430:1.0 432:10.0 459:64.0 460:22.0 461:23.0 471:79.0 472:14.0 486:3.0</t>
  </si>
  <si>
    <t>371802</t>
  </si>
  <si>
    <t>295490</t>
  </si>
  <si>
    <t>184</t>
  </si>
  <si>
    <t>85:8.0 86:812.0 87:335.0 88:1024.0 89:320.0 91:82.0 92:2.0 93:11.0 94:57.0 99:35.0 100:886.0 101:112.0 102:245.0 105:65.0 107:1080.0 108:233.0 110:2456.0 111:109.0 113:130.0 114:23.0 116:44.0 118:309.0 123:1.0 126:170.0 127:204.0 128:22.0 130:3698.0 131:433.0 132:17.0 134:4554.0 135:612.0 136:230.0 138:38.0 139:9.0 143:264.0 144:12.0 145:93.0 146:107.0 147:19.0 150:6.0 151:3.0 154:12.0 159:109.0 160:14.0 168:9.0 171:181.0 172:16.0 173:53.0 184:3117.0 185:444.0 186:139.0 187:508.0 188:38.0 199:105.0 200:46.0 204:8.0 206:3.0 209:25.0 212:23.0 241:346.0 245:27.0 246:1.0 261:35.0 262:2.0 263:2.0 276:10.0 311:12.0 312:3.0 314:16.0 326:19.0 333:24.0 340:12.0 358:1.0 362:3.0 364:14.0 399:22.0 409:16.0 418:18.0 430:1.0 434:2.0 435:15.0 454:22.0 462:21.0 482:1.0 483:1.0 494:17.0 498:5.0</t>
  </si>
  <si>
    <t>369638</t>
  </si>
  <si>
    <t>644843</t>
  </si>
  <si>
    <t>278</t>
  </si>
  <si>
    <t>86:92.0 89:698.0 95:264.0 96:629.0 100:191.0 101:58.0 103:174.0 104:98.0 109:139.0 113:13.0 116:137.0 117:423.0 125:7.0 129:372.0 130:144.0 135:35.0 136:82.0 137:142.0 138:47.0 140:4.0 143:150.0 149:308.0 151:34.0 153:2029.0 154:531.0 155:160.0 156:125.0 157:938.0 158:133.0 159:5.0 166:30.0 167:76.0 168:295.0 169:15.0 172:54.0 173:1157.0 174:443.0 180:138.0 181:11.0 183:43.0 184:111.0 194:25.0 196:26.0 199:26.0 204:239.0 218:123.0 220:51.0 227:117.0 239:30.0 244:20.0 245:138.0 246:87.0 254:39.0 258:72.0 260:32.0 262:7.0 265:17.0 267:35.0 271:6.0 274:79.0 276:11.0 277:60.0 278:2677.0 279:512.0 280:142.0 283:24.0 284:4.0 285:2.0 292:29.0 299:33.0 303:92.0 307:76.0 308:21.0 310:17.0 312:2.0 314:19.0 316:152.0 317:41.0 326:7.0 330:17.0 336:7.0 364:26.0 367:10.0 373:1.0 380:249.0 381:13.0 382:33.0 395:59.0 396:20.0 398:4.0 427:15.0 471:4.0 474:2.0 500:5.0</t>
  </si>
  <si>
    <t>369589</t>
  </si>
  <si>
    <t>914459</t>
  </si>
  <si>
    <t>85:474.0 86:244.0 88:54.0 89:5510.0 90:723.0 91:578.0 92:93.0 93:68.0 94:121.0 95:168.0 96:1285.0 97:233.0 98:620.0 99:1029.0 100:1225.0 101:2076.0 102:490.0 103:14284.0 104:1327.0 105:1065.0 106:309.0 107:119.0 108:218.0 109:128.0 110:63.0 111:367.0 112:669.0 113:583.0 114:1266.0 115:1322.0 116:5213.0 117:8465.0 118:1360.0 119:498.0 120:55.0 121:47.0 122:508.0 123:415.0 124:231.0 125:47.0 126:1605.0 127:365.0 128:1803.0 129:4576.0 130:750.0 131:3553.0 132:2842.0 133:9348.0 134:1078.0 135:520.0 136:116.0 137:106.0 138:464.0 139:254.0 140:605.0 141:308.0 142:964.0 143:2124.0 144:2210.0 145:675.0 146:150.0 147:18871.0 148:2687.0 149:2089.0 150:278.0 151:164.0 152:318.0 153:541.0 154:1046.0 155:943.0 156:1388.0 157:1818.0 158:1539.0 159:204.0 160:351.0 161:99.0 162:32.0 163:1132.0 164:180.0 165:133.0 166:273.0 167:762.0 168:724.0 169:468.0 170:883.0 171:1191.0 172:1120.0 173:2395.0 174:901.0 175:625.0 176:18.0 177:11.0 178:40.0 179:189.0 180:189.0 181:679.0 182:550.0 183:718.0 184:647.0 185:438.0 186:1393.0 187:355.0 188:157.0 189:1461.0 190:592.0 191:579.0 192:125.0 193:240.0 194:238.0 195:694.0 196:359.0 197:522.0 198:594.0 199:268.0 200:629.0 201:288.0 202:202.0 203:853.0 204:2327.0 205:4299.0 206:1092.0 207:733.0 208:138.0 209:357.0 210:614.0 211:220.0 212:263.0 213:323.0 214:609.0 215:339.0 216:356.0 217:11030.0 218:2353.0 219:1007.0 220:67.0 221:622.0 222:338.0 223:327.0 224:268.0 225:366.0 226:173.0 227:2043.0 228:547.0 229:671.0 230:598.0 231:469.0 232:559.0 233:125.0 234:59.0 235:40.0 236:42.0 237:303.0 238:36.0 239:256.0 240:298.0 241:262.0 242:252.0 243:398.0 244:326.0 245:343.0 246:9127.0 247:2186.0 248:1043.0 249:213.0 250:49.0 251:63.0 252:4.0 253:621.0 254:267.0 255:166.0 256:249.0 257:83.0 258:1331.0 259:935.0 260:637.0 261:184.0 262:84.0 263:34.0 264:44.0 265:151.0 266:27.0 267:126.0 268:182.0 269:189.0 270:291.0 271:1241.0 272:974.0 273:286.0 275:72.0 277:161.0 278:113.0 279:81.0 280:4.0 282:70.0 283:298.0 284:779.0 285:410.0 286:243.0 287:139.0 288:172.0 289:79.0 290:3843.0 291:1481.0 292:602.0 293:215.0 294:70.0 295:24.0 296:47.0 297:166.0 298:144.0 299:176.0 300:741.0 301:250.0 302:151.0 303:46.0 304:57.0 305:226.0 306:79.0 307:192.0 308:103.0 309:122.0 310:51.0 311:79.0 312:352.0 313:585.0 314:513.0 315:202.0 316:86.0 317:118.0 318:134.0 319:1299.0 320:555.0 321:271.0 322:53.0 323:37.0 324:12.0 325:92.0 326:82.0 327:24.0 328:89.0 329:112.0 330:588.0 331:227.0 332:228.0 333:61.0 335:105.0 336:6.0 337:87.0 339:63.0 340:82.0 341:148.0 342:83.0 343:79.0 344:1237.0 345:458.0 346:204.0 347:63.0 348:261.0 349:112.0 350:5.0 351:28.0 352:29.0 353:47.0 354:82.0 355:21.0 357:71.0 358:65.0 359:49.0 360:167.0 361:2468.0 362:751.0 363:234.0 364:72.0 365:39.0 367:18.0 368:17.0 370:15.0 371:9.0 372:99.0 373:600.0 374:462.0 375:192.0 376:82.0 377:7.0 378:2.0 379:22.0 380:18.0 381:39.0 383:43.0 384:24.0 385:170.0 386:80.0 387:41.0 388:28.0 389:16.0 390:170.0 391:90.0 392:4.0 393:3.0 394:20.0 395:58.0 396:39.0 397:196.0 398:33.0 399:18.0 400:2.0 401:6.0 402:159.0 403:264.0 404:258.0 405:34.0 407:6.0 411:46.0 412:12.0 413:24.0 415:45.0 416:38.0 417:79.0 418:69.0 419:711.0 420:380.0 421:105.0 422:25.0 425:3.0 427:28.0 430:14.0 433:26.0 434:294.0 435:165.0 436:44.0 443:7.0 444:49.0 445:48.0 447:7.0 453:1.0 454:13.0 457:9.0 462:82.0 463:818.0 464:568.0 465:157.0 466:52.0 474:35.0 475:73.0 476:67.0 480:21.0 481:89.0 482:40.0 485:48.0 487:14.0 500:9.0</t>
  </si>
  <si>
    <t>119</t>
  </si>
  <si>
    <t>369271</t>
  </si>
  <si>
    <t>1096130</t>
  </si>
  <si>
    <t>351</t>
  </si>
  <si>
    <t>88:83.0 91:288.0 96:38.0 105:566.0 107:63.0 109:43.0 112:36.0 121:91.0 129:87.0 133:272.0 135:1441.0 136:25.0 145:16.0 146:41.0 157:71.0 161:182.0 162:58.0 163:367.0 164:61.0 165:279.0 166:48.0 167:12.0 170:12.0 175:39.0 176:50.0 177:309.0 178:27.0 179:195.0 180:71.0 181:52.0 189:114.0 190:106.0 191:1815.0 192:392.0 193:520.0 194:36.0 195:115.0 198:22.0 203:71.0 205:267.0 206:216.0 207:5573.0 208:1148.0 209:356.0 210:62.0 220:31.0 221:69.0 222:41.0 223:560.0 224:67.0 235:4.0 237:172.0 238:34.0 239:56.0 240:15.0 246:21.0 248:25.0 249:180.0 251:83.0 252:42.0 253:16.0 254:28.0 255:42.0 264:9.0 265:182.0 267:214.0 268:137.0 270:22.0 272:19.0 281:153.0 282:78.0 289:22.0 290:12.0 295:68.0 299:4.0 300:13.0 308:12.0 310:11.0 311:25.0 312:4.0 314:6.0 315:12.0 317:11.0 323:4.0 325:33.0 327:150.0 329:50.0 334:8.0 340:39.0 341:158.0 343:12.0 345:5.0 351:1346.0 352:379.0 353:150.0 354:53.0 355:27.0 356:55.0 359:16.0 375:1.0 376:11.0 377:25.0 384:15.0 385:28.0 387:9.0 390:34.0 395:9.0 401:78.0 414:25.0 415:34.0 417:17.0 429:65.0 431:8.0 432:14.0 452:16.0 457:8.0 458:14.0 461:6.0 462:18.0 463:2.0 476:21.0 477:1.0 489:27.0 490:30.0 491:41.0 492:38.0 496:124.0 497:85.0 498:1.0</t>
  </si>
  <si>
    <t>368540</t>
  </si>
  <si>
    <t>961829</t>
  </si>
  <si>
    <t>85:721.0 93:110.0 96:116.0 97:378.0 98:75.0 104:568.0 107:158.0 109:98.0 111:247.0 121:156.0 122:161.0 123:55.0 130:67.0 132:19.0 134:297.0 139:2.0 140:80.0 143:38.0 149:6653.0 150:807.0 151:9.0 152:10.0 162:11.0 163:141.0 164:43.0 167:3247.0 168:246.0 169:24.0 177:66.0 178:37.0 179:70.0 190:14.0 192:18.0 193:120.0 194:72.0 195:97.0 196:44.0 197:30.0 201:8.0 202:13.0 206:77.0 207:174.0 208:51.0 210:2.0 212:25.0 216:8.0 217:104.0 218:96.0 222:6.0 225:50.0 227:26.0 229:16.0 231:5.0 235:26.0 236:34.0 238:30.0 239:11.0 241:4.0 243:54.0 245:41.0 248:17.0 249:101.0 250:4.0 251:12.0 252:7.0 253:66.0 254:16.0 255:33.0 257:7.0 258:24.0 262:2.0 263:6.0 264:15.0 266:81.0 268:21.0 269:44.0 271:13.0 273:9.0 274:4.0 275:13.0 278:34.0 280:45.0 281:111.0 282:129.0 283:44.0 285:72.0 286:21.0 287:13.0 288:1.0 292:5.0 293:215.0 294:88.0 297:41.0 299:46.0 300:67.0 303:30.0 304:13.0 306:10.0 307:113.0 308:7.0 311:4.0 312:27.0 313:23.0 314:11.0 315:44.0 317:26.0 318:16.0 319:6.0 320:61.0 321:16.0 322:26.0 323:8.0 324:14.0 326:93.0 329:25.0 331:20.0 333:9.0 334:38.0 336:4.0 337:15.0 338:4.0 341:138.0 342:28.0 343:10.0 346:6.0 351:3.0 352:18.0 353:12.0 354:19.0 356:59.0 357:72.0 358:45.0 359:33.0 360:4.0 361:20.0 362:8.0 363:22.0 365:6.0 366:32.0 371:20.0 373:68.0 374:31.0 376:11.0 377:22.0 378:12.0 379:21.0 381:38.0 382:12.0 383:17.0 385:34.0 387:9.0 388:2.0 389:1.0 390:7.0 392:28.0 394:16.0 395:11.0 396:4.0 397:4.0 398:23.0 399:1.0 400:11.0 401:33.0 402:32.0 403:10.0 404:12.0 405:43.0 408:9.0 413:45.0 414:16.0 415:27.0 416:4.0 417:25.0 418:8.0 420:13.0 421:9.0 424:30.0 425:19.0 426:10.0 427:27.0 428:41.0 429:75.0 430:62.0 433:70.0 434:30.0 435:11.0 436:13.0 437:19.0 439:8.0 440:16.0 441:18.0 444:29.0 445:32.0 447:1.0 448:4.0 451:31.0 452:28.0 454:3.0 455:55.0 456:16.0 457:33.0 458:1.0 459:15.0 460:11.0 465:7.0 466:1.0 468:5.0 470:12.0 471:5.0 472:16.0 473:13.0 474:31.0 475:2.0 477:18.0 478:13.0 479:12.0 480:12.0 481:15.0 484:11.0 485:40.0 487:4.0 488:71.0 489:14.0 490:59.0 491:1.0 492:39.0 493:6.0 495:3.0 498:1.0 499:25.0 500:1.0</t>
  </si>
  <si>
    <t>368153</t>
  </si>
  <si>
    <t>935336</t>
  </si>
  <si>
    <t>487</t>
  </si>
  <si>
    <t>85:257.0 87:580.0 89:757.0 90:293.0 91:2931.0 92:251.0 93:375.0 94:96.0 95:385.0 96:193.0 97:190.0 98:167.0 99:154.0 100:11.0 101:128.0 102:15.0 103:438.0 105:1695.0 106:97.0 107:459.0 109:148.0 110:97.0 113:35.0 114:2.0 115:1720.0 116:466.0 117:851.0 118:135.0 119:502.0 121:424.0 122:216.0 123:227.0 124:86.0 125:41.0 127:68.0 128:1162.0 129:1270.0 131:496.0 132:75.0 133:12.0 134:225.0 135:658.0 136:326.0 137:299.0 138:10.0 139:240.0 140:5.0 141:122.0 143:355.0 144:175.0 145:1331.0 146:408.0 147:818.0 148:91.0 149:1170.0 150:278.0 151:1114.0 152:329.0 153:171.0 155:87.0 157:14.0 158:21.0 159:409.0 160:109.0 161:1593.0 162:672.0 163:1115.0 164:356.0 165:1448.0 166:222.0 167:269.0 168:93.0 169:85.0 170:22.0 171:55.0 173:26.0 175:812.0 176:311.0 177:1187.0 178:544.0 179:1793.0 180:545.0 181:806.0 182:143.0 183:22.0 184:163.0 185:127.0 187:120.0 188:16.0 189:619.0 190:71.0 191:629.0 192:147.0 193:1114.0 194:224.0 195:1730.0 196:1004.0 197:496.0 198:5.0 200:21.0 201:73.0 202:73.0 203:305.0 204:355.0 205:939.0 206:237.0 207:982.0 208:556.0 209:2199.0 210:329.0 211:2088.0 212:500.0 213:240.0 214:52.0 215:132.0 216:70.0 217:290.0 218:384.0 219:1117.0 220:433.0 221:2491.0 222:415.0 223:601.0 224:155.0 225:401.0 226:99.0 227:120.0 228:22.0 229:99.0 232:64.0 233:383.0 234:736.0 235:714.0 236:741.0 237:391.0 238:118.0 239:154.0 240:120.0 241:26.0 243:106.0 244:72.0 245:160.0 247:27.0 248:33.0 249:192.0 250:166.0 251:2378.0 252:954.0 253:854.0 254:235.0 255:152.0 256:120.0 257:21.0 258:12.0 259:58.0 262:2.0 263:96.0 265:359.0 266:550.0 267:3130.0 268:1090.0 269:346.0 270:64.0 271:14.0 272:24.0 273:17.0 277:36.0 279:6.0 280:27.0 281:92.0 282:163.0 283:52.0 284:52.0 285:55.0 286:26.0 287:11.0 288:60.0 290:62.0 293:24.0 294:2.0 295:30.0 297:33.0 299:38.0 300:51.0 301:21.0 304:7.0 311:16.0 312:36.0 313:37.0 315:44.0 317:6.0 323:14.0 325:161.0 326:115.0 327:160.0 329:43.0 331:18.0 336:5.0 337:27.0 340:4.0 341:182.0 343:43.0 344:38.0 351:2.0 353:8.0 358:39.0 359:17.0 364:55.0 365:20.0 369:55.0 371:27.0 373:11.0 374:65.0 375:19.0 376:23.0 380:20.0 383:62.0 385:19.0 387:13.0 388:4.0 389:22.0 398:64.0 399:1001.0 400:362.0 401:192.0 402:25.0 413:36.0 414:488.0 415:221.0 416:134.0 417:29.0 422:10.0 428:7.0 429:180.0 430:180.0 431:244.0 432:84.0 433:20.0 444:9.0 446:1.0 457:3.0 459:35.0 472:40.0 485:44.0 486:550.0 487:3677.0 488:3138.0 489:1481.0 490:451.0 491:130.0 492:45.0 493:25.0 494:71.0 495:136.0 496:83.0 497:74.0 498:73.0 499:90.0 500:142.0</t>
  </si>
  <si>
    <t>368044</t>
  </si>
  <si>
    <t>445467</t>
  </si>
  <si>
    <t>86:765.0 90:1279.0 91:1259.0 96:54.0 99:117.0 100:947.0 101:248.0 102:221.0 103:59.0 104:70.0 105:539.0 106:64.0 107:1287.0 108:846.0 110:4426.0 111:346.0 114:110.0 115:176.0 118:981.0 119:392.0 121:119.0 124:49.0 127:2501.0 128:48.0 129:61.0 130:4096.0 131:1465.0 132:723.0 137:25.0 138:50.0 143:1012.0 144:389.0 148:81.0 149:438.0 150:86.0 151:78.0 153:56.0 155:109.0 157:37.0 160:9.0 168:159.0 170:11.0 172:39.0 176:19.0 180:216.0 184:2598.0 186:328.0 187:71.0 192:1.0 195:14.0 199:618.0 200:357.0 217:29.0 233:41.0 240:18.0 243:3051.0 244:657.0 245:266.0 246:2.0 254:2.0 258:214.0 259:50.0 273:3.0 290:49.0 315:9.0 378:4.0 380:1.0 383:8.0 428:14.0 453:9.0 463:4.0 473:5.0 486:9.0</t>
  </si>
  <si>
    <t>134</t>
  </si>
  <si>
    <t>228</t>
  </si>
  <si>
    <t>368016</t>
  </si>
  <si>
    <t>256011</t>
  </si>
  <si>
    <t>86:3865.0 90:2069.0 91:7276.0 92:1184.0 98:1191.0 100:371.0 102:21583.0 103:4230.0 104:2924.0 105:1393.0 106:5153.0 110:4267.0 111:2000.0 114:2023.0 118:10933.0 121:933.0 122:30.0 127:910.0 128:1221.0 132:3416.0 134:11143.0 135:7134.0 143:3511.0 145:111.0 164:117.0 170:4.0 174:73.0 180:239.0 183:83.0 186:505.0 187:171.0 198:1080.0 199:1314.0 200:1091.0 201:483.0 204:1533.0 225:825.0 226:87.0 260:68.0 300:24.0 321:53.0 345:48.0 352:117.0 368:4.0 372:48.0 400:9.0 420:9.0 423:97.0 437:63.0 460:4.0 480:102.0 494:9.0 498:29.0</t>
  </si>
  <si>
    <t>367991</t>
  </si>
  <si>
    <t>525157</t>
  </si>
  <si>
    <t>85:2320.0 86:40407.0 87:5620.0 88:2773.0 89:86.0 90:273.0 92:815.0 93:125.0 95:361.0 98:2486.0 99:2501.0 100:295431.0 101:29912.0 102:12519.0 103:1728.0 104:176.0 105:673.0 106:288.0 108:9.0 109:23.0 112:511.0 113:5168.0 114:44792.0 115:20737.0 116:15425.0 117:5456.0 118:1463.0 119:2952.0 120:692.0 121:593.0 122:5007.0 123:317.0 124:416.0 127:7.0 128:217.0 129:1752.0 130:23868.0 131:10069.0 132:7041.0 133:19637.0 135:2956.0 136:1122.0 137:1418.0 138:126.0 139:43.0 140:380.0 141:451.0 142:730.0 143:6283.0 144:1065.0 145:479.0 146:8050.0 147:70015.0 148:12258.0 149:7089.0 150:760.0 151:309.0 152:150.0 153:48.0 156:4761.0 157:1474.0 158:2255.0 159:573.0 160:2128.0 161:611.0 162:148.0 164:242.0 165:31.0 168:111.0 169:2.0 170:295.0 171:401.0 172:35503.0 173:6888.0 174:56254.0 175:10503.0 176:16035.0 177:2631.0 178:1045.0 179:208.0 180:152.0 182:168.0 183:55.0 185:148.0 186:77.0 187:4619.0 188:195073.0 189:39005.0 190:18472.0 191:2287.0 192:244.0 194:1149.0 195:245.0 196:125.0 198:4.0 199:386.0 201:180.0 202:74.0 204:1678.0 206:681.0 209:1947.0 210:556.0 211:584.0 212:23.0 213:36.0 214:29.0 215:73.0 216:182.0 217:94.0 219:312.0 220:1410.0 221:403.0 222:861.0 223:55.0 224:56.0 225:95.0 226:56.0 227:2.0 228:99.0 229:108.0 230:147.0 232:44.0 234:87.0 236:93.0 237:152.0 238:11.0 240:43.0 241:43.0 248:4629.0 249:1056.0 250:518.0 251:48.0 252:5.0 255:2.0 256:114.0 257:68.0 258:3.0 262:21.0 263:15.0 267:23.0 268:46.0 270:1.0 274:1.0 275:31.0 277:11.0 279:71.0 280:17.0 284:5.0 286:2.0 293:30.0 295:55.0 296:19.0 298:2.0 304:4.0 308:76.0 309:125.0 310:7480.0 311:1957.0 312:1302.0 313:283.0 315:338.0 316:123.0 317:31.0 324:2.0 325:2.0 329:267.0 330:452.0 332:5.0 333:9.0 335:1.0 341:1.0 344:60.0 346:43.0 355:57.0 371:1.0 373:41.0 375:3.0 376:10.0 377:15.0 378:1.0 388:1.0 394:2.0 395:13.0 403:23.0 404:1.0 406:7.0 419:16.0 422:5.0 430:4.0 432:1.0 437:1.0 445:2.0 460:7.0 461:2.0 463:16.0 473:6.0 475:12.0 478:70.0 481:17.0 482:1.0 485:8.0 486:30.0 492:1.0 495:1.0 499:2.0</t>
  </si>
  <si>
    <t>367970</t>
  </si>
  <si>
    <t>576156</t>
  </si>
  <si>
    <t>86:212.0 88:138.0 89:424.0 90:277.0 91:92.0 94:8.0 95:154.0 97:5.0 100:45.0 101:14.0 102:5.0 103:6094.0 106:809.0 107:2203.0 108:113.0 109:993.0 110:22.0 111:1.0 113:2.0 114:219.0 115:81.0 116:8.0 117:652.0 119:3.0 120:5.0 126:12.0 129:3390.0 130:1913.0 131:251.0 132:261.0 133:993.0 135:1.0 136:467.0 137:11.0 142:30.0 143:84.0 144:182.0 146:45.0 147:1246.0 148:470.0 149:492.0 152:66.0 155:1.0 156:30.0 157:886.0 158:32.0 159:21.0 164:66.0 166:708.0 169:7.0 170:16.0 171:68.0 172:99.0 174:9.0 182:24.0 183:13.0 185:367.0 186:424.0 187:116.0 189:1427.0 190:295.0 191:371.0 193:34.0 194:2.0 198:40.0 200:21.0 203:268.0 204:1201.0 205:2837.0 206:554.0 207:114.0 210:627.0 215:9.0 217:6359.0 218:1552.0 219:564.0 220:14.0 221:59.0 222:4.0 225:104.0 229:114.0 230:13.0 233:27.0 234:31.0 235:57.0 242:24.0 243:302.0 244:25.0 245:14.0 246:13.0 256:27.0 257:8.0 259:7.0 260:1.0 262:2.0 264:7.0 267:12.0 271:8.0 272:15.0 277:61.0 283:24.0 291:6.0 292:52.0 293:15.0 295:10.0 296:16.0 303:42.0 304:5.0 305:20.0 307:833.0 308:252.0 309:32.0 312:18.0 313:4.0 317:57.0 318:33.0 319:1263.0 320:383.0 321:116.0 323:6.0 327:49.0 332:231.0 337:40.0 342:79.0 345:41.0 348:2.0 379:7.0 389:7.0 392:4.0 396:25.0 407:13.0 415:4.0 419:5.0 423:8.0 433:1.0 438:10.0 475:10.0 478:13.0 481:13.0 495:3.0</t>
  </si>
  <si>
    <t>367938</t>
  </si>
  <si>
    <t>674868</t>
  </si>
  <si>
    <t>85:668.0 86:272.0 88:55.0 89:784.0 90:107.0 91:612.0 92:1.0 93:425.0 94:20.0 95:1280.0 97:830.0 98:920.0 99:464.0 100:12.0 101:718.0 102:163.0 103:1725.0 104:402.0 105:684.0 106:257.0 107:906.0 108:76.0 109:831.0 111:352.0 112:275.0 114:283.0 116:1630.0 117:30271.0 118:1664.0 119:1105.0 121:2.0 122:2.0 124:56.0 125:165.0 126:15.0 127:28.0 128:247.0 129:11983.0 130:946.0 131:4392.0 132:11571.0 133:2805.0 141:101.0 143:1628.0 144:354.0 145:5709.0 146:214.0 147:1041.0 148:245.0 149:588.0 154:130.0 157:245.0 159:661.0 160:2742.0 161:208.0 162:53.0 163:3.0 164:1.0 166:102.0 168:136.0 169:88.0 171:879.0 172:148.0 173:121.0 174:430.0 175:64.0 181:21.0 183:36.0 185:512.0 186:170.0 187:435.0 188:90.0 189:763.0 190:156.0 192:4.0 193:3.0 195:8.0 199:106.0 200:9.0 201:1133.0 202:137.0 204:379.0 207:113.0 213:48.0 215:200.0 216:50.0 217:1036.0 218:305.0 219:408.0 220:35.0 221:4.0 222:46.0 224:14.0 227:34.0 228:38.0 229:113.0 230:50.0 231:58.0 232:7.0 233:2.0 235:1.0 241:74.0 243:191.0 244:2.0 245:117.0 246:50.0 253:32.0 254:11.0 255:184.0 256:86.0 257:265.0 262:60.0 263:2.0 265:2.0 267:6.0 268:9.0 269:1.0 271:284.0 272:58.0 274:16.0 277:50.0 279:1.0 280:3.0 281:2.0 282:116.0 291:23.0 292:911.0 293:301.0 294:119.0 299:4484.0 300:1106.0 301:259.0 302:53.0 305:233.0 306:12.0 307:22.0 314:263.0 315:45.0 319:73.0 321:21.0 330:28.0 333:3835.0 334:1103.0 335:503.0 336:34.0 337:26.0 341:52.0 343:68.0 344:23.0 345:15.0 356:1.0 361:38.0 370:26.0 382:1.0 393:19.0 401:21.0 418:66.0 419:20.0 423:60.0 447:5.0 475:59.0</t>
  </si>
  <si>
    <t>367932</t>
  </si>
  <si>
    <t>380080</t>
  </si>
  <si>
    <t>170</t>
  </si>
  <si>
    <t>85:5005.0 86:824.0 88:890.0 89:3967.0 90:552.0 91:1145.0 92:159.0 99:553.0 100:1523.0 101:2170.0 103:1556.0 104:1506.0 105:423.0 109:1107.0 110:9992.0 111:1066.0 112:263.0 115:747.0 116:1914.0 117:899.0 118:916.0 119:1660.0 120:490.0 122:31.0 126:122.0 127:844.0 128:659.0 136:691.0 137:194.0 139:207.0 140:115.0 141:64.0 143:351.0 144:102.0 146:449.0 147:2005.0 152:126.0 153:25.0 154:68.0 156:309.0 158:86.0 159:5413.0 160:680.0 161:111.0 164:37.0 166:42.0 168:37.0 169:56.0 170:7227.0 171:531.0 172:112.0 174:34.0 178:7.0 180:521.0 183:72.0 184:1206.0 186:527.0 187:146.0 189:60.0 198:551.0 199:134.0 200:507.0 201:221.0 204:11.0 205:182.0 216:12.0 221:57.0 226:272.0 228:61.0 244:48.0 248:18.0 254:254.0 279:29.0 288:5.0 299:21.0 309:3.0 337:31.0 341:28.0 345:6.0 374:3.0 379:21.0 396:3.0 397:15.0 400:14.0 408:4.0 435:4.0 437:20.0 463:20.0 499:18.0</t>
  </si>
  <si>
    <t>367920</t>
  </si>
  <si>
    <t>679722</t>
  </si>
  <si>
    <t>85:1690.0 88:202.0 89:3378.0 90:551.0 91:1214.0 95:223.0 96:106.0 97:4599.0 98:364.0 99:409.0 101:1234.0 102:135.0 103:4572.0 104:256.0 106:18.0 108:10.0 111:1832.0 112:154.0 113:532.0 115:465.0 116:206.0 117:831.0 119:146.0 120:4.0 125:343.0 126:87.0 128:40.0 129:705.0 133:215.0 139:29.0 140:898.0 141:63.0 144:10.0 147:651.0 149:180.0 150:64.0 157:263.0 159:22.0 161:164.0 171:143.0 172:18.0 173:3.0 174:613.0 175:99.0 183:12.0 190:4.0 191:148.0 192:43.0 199:170.0 201:78.0 204:1078.0 205:1046.0 206:103.0 207:193.0 213:114.0 220:50.0 224:27.0 233:195.0 241:1.0 253:31.0 256:9.0 257:437.0 258:124.0 261:43.0 278:41.0 282:3.0 286:8.0 288:1.0 290:4.0 292:58.0 295:34.0 296:76.0 299:3883.0 300:1471.0 301:328.0 302:74.0 304:1.0 305:122.0 306:50.0 307:47.0 309:21.0 319:656.0 320:93.0 324:26.0 333:136.0 335:30.0 336:27.0 342:75.0 355:131.0 358:69.0 369:31.0 385:6.0 407:6.0 408:17.0 425:11.0 441:28.0 449:8.0 454:2.0 463:2.0 475:12.0 482:18.0 498:3.0</t>
  </si>
  <si>
    <t>216</t>
  </si>
  <si>
    <t>367910</t>
  </si>
  <si>
    <t>330851</t>
  </si>
  <si>
    <t>85:603.0 86:873.0 87:635.0 89:373.0 91:445.0 92:11.0 95:116.0 98:531.0 99:6622.0 100:3551.0 101:601.0 102:838.0 104:472.0 106:791.0 109:168.0 110:2207.0 111:1050.0 112:91.0 113:430.0 114:1095.0 115:828.0 116:482.0 117:301.0 118:1057.0 120:720.0 121:38.0 125:264.0 127:4771.0 128:192.0 129:107.0 131:3328.0 132:594.0 133:216.0 134:1683.0 135:683.0 136:717.0 138:109.0 141:431.0 143:592.0 144:68.0 146:2225.0 147:30200.0 148:3005.0 149:1561.0 155:721.0 157:622.0 158:30.0 159:203.0 160:54.0 162:148.0 168:167.0 170:51.0 171:28947.0 172:4926.0 173:3567.0 174:413.0 175:7.0 186:1734.0 187:217.0 188:111.0 189:12749.0 190:2327.0 191:782.0 192:78.0 197:17.0 199:1041.0 200:107.0 201:81.0 204:277.0 207:815.0 211:17.0 212:9.0 215:307.0 222:12.0 229:472.0 230:67.0 231:90.0 314:336.0 315:37.0 352:86.0 353:1.0 406:193.0 407:10.0</t>
  </si>
  <si>
    <t>367907</t>
  </si>
  <si>
    <t>704838</t>
  </si>
  <si>
    <t>85:1450.0 86:217.0 89:247.0 90:38.0 92:765.0 93:1632.0 94:1277.0 95:5374.0 96:9262.0 97:5251.0 98:4468.0 99:1021.0 101:1494.0 102:444.0 103:7357.0 104:1092.0 105:868.0 108:524.0 109:1975.0 110:1586.0 111:1729.0 112:797.0 113:505.0 115:665.0 116:3844.0 117:43097.0 118:3761.0 119:2211.0 120:118.0 121:1299.0 122:321.0 123:2624.0 124:1456.0 125:587.0 127:874.0 128:149.0 129:21464.0 131:2497.0 132:3871.0 133:6177.0 135:384.0 136:482.0 137:1028.0 138:1094.0 139:258.0 140:152.0 141:575.0 142:431.0 143:2925.0 145:6432.0 147:20324.0 148:2828.0 149:1576.0 150:149.0 151:741.0 152:2147.0 153:360.0 154:27.0 155:2537.0 156:330.0 157:1514.0 158:219.0 159:717.0 160:41.0 161:329.0 162:24.0 163:123.0 165:316.0 166:327.0 167:74.0 169:836.0 170:289.0 171:1630.0 172:371.0 173:529.0 174:95.0 175:168.0 177:454.0 178:29.0 179:129.0 181:199.0 183:514.0 184:1944.0 185:2543.0 186:200.0 187:365.0 188:144.0 189:1208.0 190:701.0 191:13155.0 192:2724.0 193:1316.0 194:1487.0 195:348.0 197:86.0 199:2217.0 200:76.0 201:373.0 202:75.0 203:514.0 204:8534.0 205:1965.0 206:803.0 207:995.0 208:61.0 209:38.0 211:25.0 213:486.0 214:56.0 215:439.0 216:78.0 217:18674.0 218:3608.0 219:1671.0 220:188.0 221:1472.0 222:436.0 223:120.0 224:45.0 227:199.0 228:81.0 229:250.0 230:417.0 231:387.0 232:85.0 233:81.0 235:21.0 236:759.0 237:71.0 239:87.0 241:31.0 242:5.0 243:349.0 244:160.0 245:77.0 246:31.0 247:41.0 248:59.0 256:46.0 258:1.0 263:36.0 265:1297.0 266:227.0 267:197.0 268:15.0 269:29.0 270:129.0 271:29.0 277:7.0 278:58.0 290:69.0 291:680.0 292:246.0 293:732.0 294:157.0 295:71.0 298:29.0 301:4.0 303:33.0 304:147.0 305:12694.0 306:3630.0 307:1978.0 308:340.0 309:75.0 310:2.0 311:2331.0 312:556.0 313:166.0 314:10.0 316:4.0 317:260.0 318:16283.0 319:5679.0 320:2793.0 321:529.0 322:134.0 324:22.0 326:295.0 327:102.0 329:18.0 331:15.0 332:1.0 333:30.0 337:17.0 340:10.0 341:95.0 342:56.0 343:140.0 344:106.0 345:12.0 353:28.0 355:105.0 357:79.0 362:19.0 367:248.0 368:136.0 369:80.0 381:4.0 384:7.0 385:22.0 392:40.0 393:887.0 394:255.0 395:131.0 396:47.0 398:7.0 403:48.0 406:32.0 407:23.0 408:67.0 414:4.0 416:11.0 417:22.0 418:4.0 419:116.0 420:37.0 427:15.0 428:39.0 429:31.0 430:23.0 432:195.0 433:147.0 434:30.0 435:27.0 437:19.0 441:5.0 444:21.0 452:1.0 459:22.0 476:28.0 477:42.0 488:34.0 493:8.0 496:20.0</t>
  </si>
  <si>
    <t>362152</t>
  </si>
  <si>
    <t>1039143</t>
  </si>
  <si>
    <t>101:99.0 104:1.0 113:25.0 115:11.0 118:41.0 129:165.0 132:25.0 133:103.0 138:35.0 140:96.0 142:123.0 147:265.0 148:8.0 151:25.0 153:3.0 159:1.0 164:51.0 165:219.0 169:2453.0 170:192.0 171:141.0 172:17.0 173:33.0 176:68.0 177:16.0 179:239.0 180:41.0 181:93.0 183:47.0 189:4.0 192:723.0 193:294.0 194:78.0 195:30.0 197:23.0 204:82.0 206:121.0 207:186.0 208:342.0 209:65.0 210:43.0 211:491.0 212:154.0 215:34.0 216:7.0 217:14.0 221:111.0 225:161.0 226:151.0 229:48.0 230:1007.0 231:149.0 232:43.0 234:11.0 236:321.0 237:47.0 238:12.0 239:61.0 243:309.0 244:50.0 245:4.0 251:37.0 254:17.0 258:441.0 259:95.0 264:19.0 265:62.0 266:36.0 271:3.0 273:12.0 277:25.0 278:45.0 280:54.0 281:27.0 282:153.0 283:20.0 285:2.0 291:29.0 293:3.0 299:403.0 300:54.0 306:80.0 308:54.0 311:1.0 315:1220.0 316:326.0 317:132.0 318:43.0 320:32.0 322:35.0 323:44.0 324:11.0 325:80.0 337:94.0 338:12.0 341:58.0 342:50.0 343:38.0 355:8.0 357:90.0 367:7.0 371:12.0 376:3.0 382:120.0 383:8.0 384:22.0 387:7.0 401:78.0 403:2.0 466:5.0</t>
  </si>
  <si>
    <t>362128</t>
  </si>
  <si>
    <t>652938</t>
  </si>
  <si>
    <t>86:516.0 87:1026.0 88:289.0 89:238.0 90:805.0 91:2325.0 92:142.0 95:331.0 103:139.0 104:448.0 105:598.0 106:326.0 107:506.0 108:2.0 111:59.0 113:12.0 114:9.0 116:72.0 117:304.0 118:684.0 119:1241.0 121:160.0 123:73.0 124:8.0 125:1.0 128:4.0 129:57.0 130:1426.0 131:478.0 134:361.0 135:453.0 137:184.0 138:84.0 142:263.0 145:367.0 146:1868.0 148:345.0 149:944.0 150:309.0 151:536.0 152:51.0 154:82.0 156:9.0 158:182.0 159:47.0 160:13.0 162:175.0 163:809.0 164:330.0 165:1362.0 166:352.0 167:99.0 169:124.0 170:10.0 173:18.0 174:57.0 175:223.0 176:282.0 177:481.0 178:307.0 179:30103.0 180:7981.0 181:1968.0 182:148.0 185:1.0 186:18.0 189:33.0 190:131.0 192:422.0 194:21.0 198:92.0 200:10.0 201:19.0 202:39.0 207:352.0 208:2290.0 209:809.0 210:120.0 211:31.0 215:4.0 218:258.0 219:1696.0 220:305.0 221:185.0 222:2.0 223:42.0 226:60.0 229:7.0 230:9.0 235:1.0 240:2.0 242:2.0 243:5.0 245:2.0 248:66.0 249:9.0 254:1.0 255:2.0 257:91.0 258:6.0 261:4.0 262:2.0 265:209.0 266:39.0 270:40.0 275:9.0 276:2.0 277:5.0 280:26.0 282:2.0 283:56.0 286:47.0 288:6.0 290:31.0 292:180.0 293:343.0 294:72.0 296:33.0 298:118.0 299:462.0 300:33.0 301:69.0 302:11.0 305:1.0 307:2.0 308:218.0 310:802.0 311:60.0 312:96.0 315:3.0 316:13.0 320:1.0 325:96.0 330:5.0 331:10.0 332:3.0 339:2.0 348:2.0 349:1.0 354:24.0 357:8.0 359:2.0 366:4.0 368:21.0 377:4.0 379:18.0 385:1.0 387:2.0 396:2.0 399:1.0 401:1.0 405:3.0 416:15.0 427:26.0 432:4.0 441:1.0 443:1.0 452:3.0 454:39.0 468:2.0 471:14.0 482:1.0 488:2.0 492:13.0 500:1.0</t>
  </si>
  <si>
    <t>362124</t>
  </si>
  <si>
    <t>1038945</t>
  </si>
  <si>
    <t>90:9.0 95:11.0 96:118.0 111:23.0 112:44.0 114:9.0 121:215.0 122:17.0 123:64.0 125:16.0 129:50.0 133:46.0 136:54.0 137:18.0 140:49.0 141:43.0 142:27.0 147:102.0 149:99.0 150:27.0 151:126.0 153:28.0 155:44.0 156:36.0 157:18.0 163:47.0 165:190.0 169:1531.0 170:260.0 171:128.0 173:79.0 175:61.0 177:44.0 178:84.0 179:11.0 180:14.0 181:28.0 183:1.0 185:48.0 191:15.0 192:419.0 193:217.0 194:79.0 195:17.0 197:75.0 198:55.0 203:10.0 204:109.0 205:2.0 206:132.0 207:350.0 208:259.0 209:88.0 210:1.0 211:460.0 212:64.0 216:42.0 217:170.0 218:24.0 219:60.0 220:1.0 221:105.0 222:19.0 223:12.0 224:34.0 225:59.0 226:24.0 227:62.0 230:660.0 231:129.0 232:83.0 235:15.0 236:240.0 238:35.0 241:20.0 243:258.0 244:10.0 245:96.0 246:21.0 248:30.0 249:50.0 250:9.0 254:36.0 255:55.0 258:240.0 259:64.0 260:25.0 263:3.0 264:16.0 265:89.0 266:50.0 267:26.0 268:53.0 269:9.0 270:24.0 271:7.0 272:14.0 275:16.0 278:34.0 279:42.0 280:71.0 281:110.0 282:70.0 283:26.0 284:18.0 285:76.0 287:27.0 288:11.0 297:39.0 298:12.0 299:265.0 300:98.0 301:24.0 302:17.0 306:44.0 307:65.0 308:35.0 311:45.0 312:6.0 314:53.0 315:882.0 316:220.0 317:124.0 319:33.0 322:7.0 325:20.0 326:5.0 331:2.0 337:75.0 338:16.0 339:25.0 341:129.0 342:80.0 344:45.0 346:12.0 347:17.0 349:4.0 354:33.0 355:17.0 356:6.0 357:32.0 358:29.0 366:4.0 367:62.0 370:37.0 371:34.0 374:42.0 375:1.0 376:29.0 382:114.0 385:4.0 387:27.0 391:6.0 392:12.0 401:45.0 407:2.0 409:33.0 419:14.0 421:7.0 422:15.0 423:52.0 425:3.0 427:20.0 430:5.0 431:10.0 433:9.0 435:12.0 466:27.0 475:10.0 477:2.0 479:20.0 489:67.0 495:10.0</t>
  </si>
  <si>
    <t>362059</t>
  </si>
  <si>
    <t>360353</t>
  </si>
  <si>
    <t>85:384.0 86:1084.0 87:4888.0 88:766.0 89:322.0 98:591.0 99:210.0 100:1710.0 101:2335.0 102:1394.0 103:747.0 104:333.0 105:291.0 106:2.0 107:139.0 112:247.0 113:49.0 114:2191.0 115:2158.0 116:1667.0 117:31491.0 118:3642.0 119:1488.0 120:7.0 121:27.0 123:46.0 126:7.0 127:111.0 128:489.0 129:457.0 130:23663.0 131:7673.0 132:6862.0 133:2523.0 134:374.0 135:170.0 136:1.0 137:8.0 139:1.0 140:89.0 141:47.0 142:96.0 143:47.0 144:174.0 145:159.0 146:7033.0 147:10838.0 148:2267.0 149:979.0 150:124.0 151:1.0 156:168.0 157:121.0 158:2107.0 159:357.0 160:309.0 161:31.0 165:12.0 172:4.0 174:191.0 175:17.0 176:254.0 177:246.0 179:20.0 180:1.0 182:1.0 183:8.0 184:81.0 186:1.0 190:12.0 191:3.0 192:1.0 193:59.0 198:3.0 202:167.0 203:248.0 204:755.0 205:193.0 206:49.0 207:83.0 208:18.0 209:3.0 210:4.0 211:210.0 215:4.0 217:13.0 218:40.0 219:7267.0 220:1869.0 221:646.0 222:121.0 223:1.0 224:1.0 225:63.0 226:22.0 229:27.0 230:158.0 231:159.0 232:50.0 237:17.0 245:4.0 246:2.0 248:766.0 249:90.0 250:80.0 251:66.0 255:1.0 256:1.0 260:4.0 266:2.0 267:3.0 268:1.0 271:23.0 281:6.0 282:2.0 283:22.0 286:3.0 290:1.0 299:431.0 300:10.0 301:137.0 306:18.0 311:36.0 312:1.0 314:89.0 315:73.0 322:1.0 325:1.0 335:8.0 338:1.0 340:1.0 342:2.0 347:2.0 351:2.0 357:2.0 358:1.0 374:28.0 377:3.0 379:2.0 382:1.0 385:3.0 397:1.0 400:4.0 406:1.0 408:2.0 410:1.0 432:2.0 441:1.0 443:2.0 447:9.0 448:7.0 450:1.0 451:1.0 470:4.0 474:1.0 475:1.0 483:1.0 500:2.0</t>
  </si>
  <si>
    <t>362058</t>
  </si>
  <si>
    <t>653155</t>
  </si>
  <si>
    <t>86:150.0 87:479.0 89:233.0 90:852.0 91:1601.0 92:102.0 94:17.0 97:21.0 100:137.0 102:103.0 103:298.0 104:208.0 105:192.0 107:215.0 116:67.0 117:55.0 118:383.0 119:974.0 120:97.0 121:71.0 123:5.0 124:16.0 130:638.0 131:233.0 132:3.0 135:441.0 136:10.0 137:75.0 145:75.0 146:1166.0 148:166.0 149:523.0 150:80.0 151:252.0 155:73.0 156:32.0 157:30.0 158:104.0 160:46.0 161:93.0 162:83.0 163:418.0 164:192.0 165:705.0 166:60.0 167:35.0 174:40.0 175:201.0 176:233.0 177:232.0 178:204.0 179:19999.0 180:4482.0 181:1236.0 182:164.0 183:33.0 189:68.0 190:24.0 192:327.0 193:13.0 197:12.0 198:28.0 206:19.0 207:186.0 208:1836.0 209:423.0 210:142.0 211:23.0 217:33.0 218:159.0 219:1059.0 220:195.0 221:40.0 225:3.0 229:34.0 239:29.0 249:18.0 261:15.0 264:46.0 265:40.0 266:9.0 278:2.0 283:53.0 292:144.0 293:108.0 294:6.0 299:36.0 308:110.0 310:562.0 311:134.0 312:50.0 314:16.0 319:41.0 320:6.0 325:40.0 379:9.0 381:2.0 471:4.0</t>
  </si>
  <si>
    <t>362056</t>
  </si>
  <si>
    <t>841774</t>
  </si>
  <si>
    <t>85:34.0 86:157.0 87:223.0 100:364.0 101:295.0 102:58.0 111:872.0 112:721.0 113:178.0 123:6.0 125:7.0 128:263.0 129:3571.0 130:239.0 140:1.0 142:1.0 146:34.0 147:502.0 153:13.0 155:28.0 156:100.0 157:79.0 160:24.0 172:10.0 174:677.0 175:64.0 184:2.0 188:7.0 195:9.0 202:5.0 209:34.0 211:24.0 241:35.0 244:24.0 253:2.0 259:37.0 271:105.0 299:75.0 324:1.0 330:22.0 338:1.0 393:3.0 490:4.0</t>
  </si>
  <si>
    <t>362045</t>
  </si>
  <si>
    <t>482984</t>
  </si>
  <si>
    <t>86:231.0 88:27.0 89:38.0 97:15.0 98:65.0 100:993.0 101:208.0 102:162.0 103:186.0 104:120.0 105:334.0 106:4.0 114:382.0 116:98.0 117:146.0 118:32.0 119:12.0 128:7216.0 129:813.0 130:412.0 131:218.0 132:199.0 133:317.0 134:273.0 143:60.0 144:42.0 146:20.0 147:1708.0 148:294.0 149:21.0 157:64.0 160:309.0 161:34.0 173:79.0 174:15.0 176:7601.0 177:947.0 178:734.0 179:1.0 186:38.0 188:296.0 202:521.0 203:171.0 204:37.0 218:188.0 219:620.0 220:84.0 232:78.0 233:7.0 250:311.0 251:34.0 263:3.0 276:7.0 278:13.0 293:307.0 294:35.0 299:109.0</t>
  </si>
  <si>
    <t>362017</t>
  </si>
  <si>
    <t>646737</t>
  </si>
  <si>
    <t>85:870.0 86:713.0 90:37.0 93:127.0 94:74.0 95:153.0 96:466.0 98:161.0 99:961.0 100:905.0 101:137.0 102:173.0 104:30.0 108:10.0 109:1.0 110:325.0 111:610.0 112:116.0 114:70.0 115:36.0 116:59.0 122:207.0 123:217.0 124:722.0 125:295.0 130:155.0 135:130.0 136:108.0 137:221.0 138:238.0 139:124.0 140:177.0 141:47.0 142:343.0 147:589.0 149:505.0 152:118.0 153:193.0 154:95.0 155:57.0 156:490.0 157:123.0 158:102.0 159:5.0 160:82.0 162:82.0 163:31.0 164:167.0 165:650.0 166:174.0 167:77.0 168:9.0 169:149.0 170:193.0 171:21.0 174:140.0 175:5.0 176:153.0 177:5.0 178:47.0 179:217.0 180:166.0 181:3.0 182:75.0 183:37.0 184:117.0 185:13.0 188:23.0 192:1830.0 193:116.0 194:150.0 195:70.0 197:439.0 198:82.0 199:123.0 206:467.0 207:137.0 208:91.0 209:411.0 210:123.0 211:218.0 212:9.0 218:20.0 221:3.0 223:119.0 224:6.0 225:596.0 226:1221.0 227:283.0 228:57.0 234:15.0 235:51.0 237:239.0 238:110.0 239:386.0 240:106.0 241:34.0 248:75.0 253:38.0 255:21.0 263:114.0 264:8095.0 265:2003.0 266:659.0 267:247.0 268:27.0 271:2.0 278:201.0 279:1554.0 280:364.0 281:118.0 282:186.0 285:10.0 299:40.0 310:62.0 314:7.0 319:47.0 358:17.0 366:13.0</t>
  </si>
  <si>
    <t>362005</t>
  </si>
  <si>
    <t>525136</t>
  </si>
  <si>
    <t>85:3752.0 86:3135.0 87:1400.0 88:364.0 89:173.0 90:76.0 92:52.0 93:44.0 94:53.0 95:37.0 96:112.0 97:255.0 98:1280.0 99:1058.0 100:4312.0 101:1317.0 102:1107.0 103:1617.0 104:393.0 105:686.0 106:8.0 107:225.0 108:146.0 110:635.0 111:195.0 112:2728.0 113:1308.0 114:1570.0 115:696.0 116:15319.0 117:2279.0 118:971.0 119:282.0 120:6.0 121:1566.0 122:116.0 123:28.0 124:198.0 126:261.0 127:95.0 128:775.0 129:1967.0 130:1355.0 131:3554.0 132:910.0 133:1575.0 135:76.0 136:46.0 138:95.0 139:272.0 140:6034.0 141:2162.0 142:5264.0 143:563.0 144:377.0 146:327.0 147:33510.0 148:5777.0 149:3022.0 150:243.0 151:59.0 154:926.0 155:851.0 156:87524.0 157:31840.0 158:9816.0 159:1666.0 160:180.0 161:70.0 164:3.0 166:1.0 167:499.0 168:95.0 170:57.0 172:20.0 173:3.0 174:550.0 175:26.0 176:20.0 178:6.0 180:3.0 182:152.0 183:88.0 184:60.0 185:116.0 186:1823.0 187:173.0 188:453.0 189:355.0 190:133.0 194:2.0 199:14.0 201:7.0 204:36.0 206:1.0 207:5.0 212:47.0 213:20.0 214:586.0 215:109.0 216:137.0 217:36.0 220:11.0 224:8.0 228:68.0 230:3410.0 231:804.0 232:308.0 233:11.0 239:1.0 240:6.0 241:22.0 252:2.0 257:1310.0 258:444.0 259:152.0 266:2.0 267:2.0 268:3.0 271:3.0 274:1.0 283:6.0 289:9.0 290:1.0 296:2.0 297:2.0 298:6.0 299:31.0 300:8.0 312:1.0 313:11.0 314:5.0 320:1.0 335:2.0 336:1.0 346:1.0 355:3.0 358:1.0 376:3.0 377:3.0 379:13.0 392:1.0 400:5.0 404:4.0 411:3.0 412:3.0 413:7.0 416:1.0 424:19.0 429:1.0 438:15.0 440:8.0 446:3.0 455:2.0 459:11.0 465:2.0 469:1.0 475:1.0 478:1.0 498:13.0</t>
  </si>
  <si>
    <t>359447</t>
  </si>
  <si>
    <t>905449</t>
  </si>
  <si>
    <t>85:1413.0 86:104.0 91:361.0 95:504.0 96:6.0 97:1305.0 98:76.0 99:737.0 101:132.0 103:807.0 107:77.0 109:187.0 110:55.0 111:487.0 112:127.0 113:451.0 115:20.0 117:32.0 123:161.0 124:2.0 125:338.0 126:49.0 127:44.0 129:521.0 130:6.0 137:23.0 139:32.0 141:145.0 142:5.0 143:55.0 144:271.0 145:31.0 153:3.0 155:63.0 157:594.0 158:122.0 159:3172.0 160:379.0 161:79.0 163:61.0 165:51.0 169:96.0 170:36.0 187:2073.0 188:385.0 189:31.0 193:41.0 197:35.0 208:100.0 209:36.0 221:338.0 222:19.0 223:10.0 233:52.0 238:19.0 253:11.0 265:40.0 267:32.0 281:11.0 295:15.0 299:33.0 311:120.0 312:20.0 341:22.0 346:3.0 356:28.0 367:313.0 368:146.0 369:26.0 396:2.0 429:20.0 457:59.0 490:1.0</t>
  </si>
  <si>
    <t>357010</t>
  </si>
  <si>
    <t>877637</t>
  </si>
  <si>
    <t>85:268.0 86:5352.0 87:128.0 93:6.0 95:38.0 97:83.0 99:5.0 100:364.0 103:55.0 106:102.0 112:70.0 113:8.0 114:32.0 117:176.0 123:4.0 124:18.0 125:4.0 131:250.0 133:276.0 134:101.0 141:33.0 145:64.0 149:108.0 155:48.0 156:20.0 157:25.0 163:3.0 165:15.0 167:15.0 183:8.0 187:94.0 202:12.0 209:12.0 211:28.0 219:14.0 224:23.0 225:27.0 229:9.0 252:7.0 292:1.0 297:9.0 314:10.0 327:2.0 335:4.0 339:36.0 396:8.0 418:5.0 454:4.0</t>
  </si>
  <si>
    <t>356985</t>
  </si>
  <si>
    <t>542812</t>
  </si>
  <si>
    <t>85:496.0 86:1746.0 87:746.0 88:3145.0 89:668.0 90:446.0 91:5.0 95:8.0 97:109.0 98:233.0 99:184.0 100:844.0 101:290.0 102:51963.0 103:4555.0 104:1962.0 105:20.0 106:108.0 107:81.0 109:13.0 111:10.0 112:8.0 113:72.0 114:542.0 115:176.0 116:426.0 118:11.0 123:17.0 126:258.0 127:37.0 128:276.0 133:24.0 142:84.0 144:152.0 147:205.0 148:653.0 154:9.0 158:191.0 159:44.0 164:2.0 170:17.0 172:32.0 175:46.0 176:12.0 179:16.0 184:126.0 186:20.0 200:1.0 214:27.0 215:5.0 242:1327.0 243:335.0 244:38.0 252:27.0 254:2.0 256:81.0 257:236.0 258:36.0 315:7.0 323:8.0 353:9.0 379:2.0 386:1.0 408:5.0 416:18.0 418:1.0 456:16.0 497:16.0</t>
  </si>
  <si>
    <t>356954</t>
  </si>
  <si>
    <t>376812</t>
  </si>
  <si>
    <t>140</t>
  </si>
  <si>
    <t>88:35.0 90:270.0 100:69.0 101:32.0 102:38.0 106:126.0 107:416.0 108:56.0 109:28.0 110:1110.0 112:44.0 118:46.0 122:31.0 125:4.0 130:266.0 133:174.0 134:141.0 135:112.0 136:145.0 138:54.0 140:3463.0 141:153.0 143:19.0 146:31.0 147:67.0 149:79.0 150:54.0 152:177.0 153:60.0 154:38.0 162:3.0 164:11.0 169:1.0 179:9.0 180:1157.0 181:42.0 182:39.0 184:150.0 185:172.0 188:5.0 189:27.0 197:54.0 198:9.0 199:66.0 205:14.0 208:11.0 210:30.0 213:10.0 214:4.0 216:7.0 224:6.0 226:77.0 232:16.0 239:17.0 246:11.0 259:1.0 260:109.0 261:7.0 262:75.0 264:14.0 283:7.0 289:5.0 290:31.0 292:63.0 293:37.0 296:11.0 302:4.0 305:12.0 309:39.0 310:24.0 313:8.0 314:21.0 315:8.0 316:15.0 318:12.0 322:5.0 331:5.0 335:13.0 345:2.0 347:18.0 351:2.0 354:35.0 359:6.0 363:4.0 365:4.0 368:15.0 369:6.0 376:2.0 379:1.0 383:20.0 386:6.0 391:11.0 394:1.0 398:15.0 401:4.0 403:17.0 405:3.0 408:30.0 411:4.0 418:2.0 419:13.0 423:16.0 428:18.0 433:1.0 435:5.0 436:15.0 437:3.0 438:8.0 440:5.0 446:5.0 452:24.0 453:1.0 455:9.0 456:9.0 457:6.0 459:8.0 463:2.0 466:2.0 467:22.0 470:2.0 472:42.0 477:5.0 484:6.0 490:8.0 491:9.0 492:12.0 497:20.0 500:7.0</t>
  </si>
  <si>
    <t>356938</t>
  </si>
  <si>
    <t>895137</t>
  </si>
  <si>
    <t>85:704.0 86:17.0 88:21.0 89:108.0 91:875.0 93:68.0 94:2.0 95:23.0 96:80.0 99:210.0 103:85.0 105:616.0 106:37.0 107:156.0 112:30.0 114:17.0 115:383.0 116:138.0 117:268.0 118:66.0 119:852.0 120:26.0 121:198.0 122:8.0 123:7.0 124:17.0 125:54.0 126:32.0 127:10.0 128:381.0 129:378.0 131:451.0 132:1.0 133:750.0 135:236.0 136:17.0 139:51.0 141:302.0 142:101.0 143:221.0 144:68.0 145:399.0 146:105.0 147:2281.0 148:2.0 149:321.0 150:32.0 151:186.0 152:52.0 153:101.0 155:171.0 156:3.0 157:71.0 158:66.0 159:250.0 160:91.0 161:571.0 162:77.0 163:562.0 164:47.0 165:243.0 166:4.0 168:19.0 169:125.0 170:28.0 171:65.0 173:398.0 174:56.0 175:989.0 176:201.0 177:648.0 178:239.0 179:778.0 180:87.0 181:28.0 182:9.0 183:68.0 184:16.0 185:10.0 187:185.0 188:61.0 189:1159.0 190:287.0 191:1663.0 192:308.0 193:390.0 194:58.0 195:40.0 197:57.0 199:13.0 201:147.0 202:113.0 203:795.0 204:212.0 205:1071.0 206:262.0 207:1641.0 208:415.0 209:249.0 210:19.0 211:13.0 213:26.0 214:24.0 215:170.0 216:72.0 217:496.0 218:420.0 219:1855.0 220:463.0 221:239.0 222:48.0 223:68.0 224:27.0 225:2.0 226:27.0 227:10.0 229:134.0 230:16.0 231:384.0 232:131.0 233:411.0 234:271.0 235:680.0 236:129.0 237:116.0 238:14.0 239:25.0 240:26.0 241:33.0 242:3.0 243:31.0 244:9.0 245:124.0 246:34.0 247:4160.0 248:1059.0 249:584.0 250:481.0 251:139.0 252:43.0 253:53.0 254:55.0 255:17.0 256:45.0 257:15.0 258:17.0 261:177.0 262:137.0 263:838.0 264:184.0 265:93.0 266:2.0 267:32.0 268:8.0 271:3.0 275:21.0 276:23.0 277:30.0 278:28.0 279:52.0 280:34.0 281:69.0 282:86.0 283:53.0 288:29.0 289:38.0 290:34.0 291:53.0 292:71.0 293:96.0 294:20.0 295:15.0 296:10.0 297:73.0 298:8.0 300:7.0 304:42.0 305:7.0 306:26.0 307:66.0 308:21.0 309:162.0 310:81.0 311:213.0 312:23.0 315:9.0 319:18.0 321:16.0 323:45.0 325:120.0 326:39.0 327:39.0 332:8.0 333:20.0 334:8.0 335:26.0 336:50.0 337:29.0 338:46.0 339:35.0 341:7.0 342:17.0 343:26.0 349:461.0 350:84.0 351:81.0 352:28.0 353:244.0 354:98.0 355:59.0 357:4.0 361:26.0 363:10.0 365:31.0 366:14.0 367:275.0 368:136.0 369:8.0 372:6.0 373:1.0 375:12.0 376:23.0 379:33.0 381:100.0 382:117.0 383:145.0 384:50.0 391:2.0 393:17.0 394:15.0 395:17.0 397:6.0 399:44.0 400:38.0 403:21.0 409:120.0 410:54.0 411:4.0 417:4.0 422:7.0 423:140.0 424:93.0 425:41.0 426:1.0 427:10.0 439:23.0 440:31.0 442:4.0 444:4.0 453:10.0 454:189.0 455:2561.0 456:1492.0 457:787.0 458:175.0 459:4.0 479:32.0 482:10.0 483:391.0 484:272.0 485:141.0 486:47.0 490:9.0 492:10.0 493:5.0 495:18.0 497:121.0 498:134.0 499:21.0 500:2.0</t>
  </si>
  <si>
    <t>356925</t>
  </si>
  <si>
    <t>648085</t>
  </si>
  <si>
    <t>86:2999.0 87:91.0 88:168.0 90:11.0 99:164.0 100:1324.0 101:124.0 102:405.0 107:3.0 112:41.0 114:58.0 116:133.0 117:124.0 118:27.0 126:78.0 127:198.0 128:39.0 129:70.0 130:497.0 131:444.0 132:53.0 134:211.0 140:68.0 144:113.0 146:259.0 147:92.0 149:176.0 154:43.0 158:179.0 159:12.0 160:174.0 168:21.0 170:1.0 172:116.0 173:23.0 174:12414.0 175:2268.0 176:955.0 177:69.0 178:10.0 184:32.0 186:37.0 188:14.0 191:86.0 198:1.0 199:21.0 200:74.0 204:283.0 205:48.0 214:35.0 217:14.0 229:28.0 235:8.0 240:358.0 241:42.0 242:5.0 245:3.0 257:12.0 302:3.0 308:8.0 314:421.0 315:119.0 317:12.0 319:24.0 348:10.0 373:12.0 386:12.0 388:14.0 389:4.0 399:14.0 432:5.0 434:4.0 436:31.0 438:24.0 449:32.0 473:1.0 495:3.0</t>
  </si>
  <si>
    <t>356892</t>
  </si>
  <si>
    <t>952855</t>
  </si>
  <si>
    <t>85:822.0 86:21.0 87:20.0 88:18.0 93:4.0 97:102.0 99:344.0 104:137.0 105:79.0 107:16.0 109:35.0 110:7.0 111:257.0 112:16.0 113:77.0 120:5.0 121:63.0 122:96.0 123:5.0 132:52.0 140:54.0 141:184.0 142:7.0 143:22.0 147:146.0 149:2225.0 150:290.0 154:16.0 155:45.0 160:2.0 167:2093.0 168:153.0 182:24.0 183:13.0 191:110.0 193:58.0 194:14.0 195:15.0 207:236.0 208:14.0 209:47.0 210:18.0 213:6.0 221:21.0 224:10.0 228:1.0 249:20.0 251:19.0 252:16.0 259:5.0 263:1.0 265:6.0 267:73.0 268:59.0 269:37.0 281:196.0 282:43.0 283:11.0 291:2.0 295:35.0 299:4.0 300:18.0 307:61.0 308:23.0 309:4.0 323:28.0 341:76.0 343:9.0 344:7.0 345:7.0 355:84.0 356:9.0 394:28.0 405:1.0 411:10.0 429:27.0 452:9.0 466:4.0 483:3.0</t>
  </si>
  <si>
    <t>354038</t>
  </si>
  <si>
    <t>319018</t>
  </si>
  <si>
    <t>178</t>
  </si>
  <si>
    <t>91:59.0 93:49.0 100:45.0 104:86.0 109:71.0 118:312.0 119:13.0 120:192.0 126:31.0 127:296.0 130:159.0 134:30.0 144:25.0 146:7.0 149:69.0 150:22.0 158:4.0 176:24.0 178:2194.0 179:310.0 180:19.0 184:25.0 193:379.0 194:15.0 247:18.0 492:2.0</t>
  </si>
  <si>
    <t>352906</t>
  </si>
  <si>
    <t>543017</t>
  </si>
  <si>
    <t>87:80.0 88:742.0 89:8.0 90:411.0 95:6.0 97:180.0 100:373.0 102:8340.0 103:11.0 104:254.0 110:102.0 123:25.0 128:51.0 130:75.0 134:147.0 137:1.0 138:30.0 139:11.0 140:3586.0 141:69.0 142:73.0 143:1.0 144:55.0 149:116.0 150:58.0 156:12.0 160:249.0 161:43.0 171:159.0 172:109.0 173:139.0 182:13.0 183:1.0 185:1.0 187:37.0 188:3.0 189:19.0 192:2.0 197:27.0 201:6.0 203:2.0 204:199.0 205:41.0 216:17.0 217:436.0 232:21.0 233:37.0 235:64.0 239:4.0 242:183.0 243:18.0 244:40.0 245:18.0 257:55.0 258:46.0 266:6.0 268:60.0 270:3.0 273:68.0 278:20.0 285:165.0 286:11.0 291:4.0 295:3.0 302:12.0 303:15.0 306:8.0 307:31.0 309:22.0 310:36.0 312:15.0 315:15.0 320:16.0 323:57.0 324:22.0 330:17.0 332:10.0 335:36.0 337:1.0 338:59.0 339:26.0 341:16.0 343:9.0 344:43.0 345:28.0 346:7.0 351:10.0 352:16.0 353:14.0 354:6.0 357:5.0 359:12.0 360:9.0 361:12.0 362:19.0 363:12.0 364:1.0 368:7.0 370:22.0 372:19.0 373:18.0 374:19.0 375:20.0 376:6.0 377:6.0 378:46.0 379:27.0 380:2.0 381:51.0 385:9.0 386:28.0 387:11.0 389:22.0 390:18.0 391:9.0 392:48.0 394:22.0 395:13.0 396:15.0 397:4.0 398:11.0 403:16.0 404:5.0 408:19.0 409:4.0 411:22.0 413:45.0 414:28.0 418:17.0 420:35.0 421:25.0 422:2.0 423:41.0 427:5.0 428:3.0 430:11.0 431:11.0 433:3.0 435:1.0 437:13.0 438:27.0 439:18.0 441:16.0 442:32.0 444:5.0 445:51.0 446:6.0 448:14.0 449:21.0 450:41.0 451:41.0 452:1.0 453:13.0 456:5.0 458:30.0 461:4.0 463:1.0 465:16.0 467:17.0 469:34.0 470:14.0 471:5.0 474:9.0 476:12.0 478:19.0 482:9.0 485:14.0 486:49.0 488:14.0 489:2.0 490:6.0 491:26.0 493:10.0 494:23.0 495:12.0 497:18.0 498:25.0 499:15.0 500:32.0</t>
  </si>
  <si>
    <t>349887</t>
  </si>
  <si>
    <t>685244</t>
  </si>
  <si>
    <t>85:156.0 86:388.0 87:55.0 89:395.0 90:210.0 91:77.0 92:5.0 93:65.0 100:1040.0 101:590.0 102:1016.0 103:2307.0 104:356.0 105:224.0 106:5.0 107:158.0 109:94.0 110:249.0 112:10.0 113:234.0 114:203.0 116:162.0 117:2153.0 118:971.0 119:148.0 125:62.0 126:28.0 128:143.0 129:2256.0 130:842.0 131:706.0 132:489.0 133:1515.0 134:680.0 136:95.0 138:36.0 139:107.0 140:83.0 141:28.0 142:420.0 143:519.0 144:54.0 145:97.0 147:5290.0 148:678.0 149:4013.0 150:481.0 152:48.0 153:95.0 154:37.0 155:144.0 156:120.0 157:239.0 158:299.0 159:40.0 160:247.0 161:101.0 163:296.0 164:20.0 165:16.0 168:186.0 169:267.0 170:183.0 171:145.0 172:164.0 173:150.0 174:95.0 175:300.0 176:36.0 177:29.0 180:7.0 184:10.0 186:238.0 187:921.0 188:465.0 189:1870.0 190:4192.0 191:1343.0 192:499.0 196:79.0 197:29.0 199:29.0 202:463.0 203:2194.0 204:13582.0 205:3232.0 206:1187.0 207:31.0 208:17.0 211:7.0 214:110.0 215:36.0 216:178.0 217:4376.0 218:1071.0 219:388.0 220:17.0 223:39.0 224:40.0 227:65.0 228:87.0 229:86.0 230:112.0 231:439.0 232:234.0 233:24.0 240:26.0 241:30.0 242:117.0 243:169.0 244:67.0 245:60.0 246:135.0 247:35.0 249:36.0 250:13.0 253:22.0 254:14.0 256:105.0 258:15.0 259:78.0 262:238.0 263:15.0 264:9.0 265:31.0 266:16.0 270:24.0 271:5.0 272:3.0 273:31.0 274:5.0 276:36.0 278:28.0 284:46.0 288:41.0 290:37.0 291:78.0 292:67.0 298:5.0 299:15.0 300:7.0 302:13.0 304:98.0 305:297.0 306:101.0 307:71.0 317:25.0 318:70.0 320:15.0 321:14.0 325:14.0 330:66.0 331:18.0 332:80.0 333:125.0 334:79.0 335:23.0 341:19.0 344:54.0 345:81.0 346:114.0 347:36.0 348:23.0 360:28.0 361:31.0 363:5.0 371:3.0 373:10.0 387:16.0 393:28.0 395:64.0 402:42.0 405:7.0 408:1.0 410:16.0 416:6.0 420:37.0 430:12.0 434:30.0 435:7.0 436:75.0 437:12.0 439:12.0 445:20.0 449:18.0 450:2.0 452:5.0 459:1.0 464:13.0 466:40.0 470:1.0 475:21.0 494:12.0 498:18.0</t>
  </si>
  <si>
    <t>343526</t>
  </si>
  <si>
    <t>477455</t>
  </si>
  <si>
    <t>85:6301.0 87:61.0 88:619.0 89:31118.0 90:3363.0 91:2146.0 93:105.0 95:224.0 96:203.0 98:13647.0 99:2170.0 100:6436.0 101:1740.0 102:290.0 103:2966.0 104:297.0 105:3162.0 106:1079.0 108:383.0 109:114.0 110:1077.0 111:188.0 113:944.0 114:1982.0 115:947.0 116:2476.0 117:945.0 119:534.0 122:36.0 123:31.0 124:86.0 125:189.0 126:170.0 127:118.0 128:7707.0 129:2185.0 130:759.0 131:2939.0 132:1461.0 133:2851.0 135:33.0 136:96.0 137:68.0 138:152.0 139:208.0 140:3197.0 141:489.0 142:657.0 143:823.0 144:413.0 146:521.0 147:23742.0 148:3858.0 149:1243.0 150:221.0 151:272.0 152:143.0 153:150.0 154:494.0 156:12239.0 157:1853.0 158:2495.0 159:670.0 160:47.0 161:164.0 162:18.0 163:1126.0 164:43.0 167:134.0 168:252.0 169:145.0 170:1149.0 171:157.0 172:2859.0 173:623.0 174:440.0 179:84.0 186:2489.0 187:670.0 188:98768.0 189:14641.0 190:4258.0 192:34.0 198:62.0 200:2572.0 201:585.0 202:507.0 203:141.0 204:650.0 210:15.0 214:282.0 215:390.0 216:564.0 217:88.0 218:1917.0 219:374.0 220:33.0 226:5.0 230:2670.0 231:620.0 232:318.0 237:9.0 238:64.0 240:102.0 241:140.0 242:320.0 245:31.0 246:401.0 248:7.0 258:895.0 259:159.0 260:51.0 261:82.0 262:1464.0 263:440.0 264:18.0 270:118.0 272:264.0 273:48.0 274:3078.0 275:553.0 276:168.0 277:74.0 287:10.0 290:1141.0 291:195.0 292:73.0 300:6.0 301:12.0 303:4.0 304:22.0 305:1156.0 306:275.0 309:121.0 325:17.0 333:5.0 334:46.0 342:51.0 347:1.0 350:12.0 360:16.0 362:14.0 367:39.0 368:38.0 370:21.0 378:10.0 388:9.0 404:24.0 408:23.0 409:8.0 411:7.0 423:3.0 430:9.0 435:10.0 438:17.0 441:2.0 449:5.0 461:1.0 466:17.0 469:15.0 470:12.0 472:30.0 473:24.0 480:83.0 486:3.0 488:7.0 489:26.0 495:8.0</t>
  </si>
  <si>
    <t>331132</t>
  </si>
  <si>
    <t>1124038</t>
  </si>
  <si>
    <t>208</t>
  </si>
  <si>
    <t>88:870.0 90:482.0 96:2716.0 97:2250.0 103:631.0 104:621.0 112:43.0 113:77.0 115:424.0 117:257.0 118:138.0 119:1952.0 120:256.0 121:194.0 122:83.0 125:363.0 129:112.0 131:67.0 132:166.0 133:3440.0 135:395.0 136:106.0 138:39.0 141:21.0 145:164.0 149:421.0 150:173.0 151:182.0 152:45.0 154:77.0 155:180.0 156:36.0 157:200.0 158:36.0 159:131.0 161:759.0 162:447.0 163:1977.0 166:330.0 167:295.0 168:4.0 170:10.0 173:94.0 175:124.0 176:637.0 177:1963.0 178:690.0 179:148.0 180:38.0 181:219.0 182:38.0 183:2.0 186:2.0 187:182.0 189:487.0 190:372.0 191:1783.0 192:915.0 193:1860.0 194:329.0 195:169.0 196:45.0 197:163.0 198:48.0 199:14.0 200:57.0 201:3.0 202:133.0 203:264.0 204:132.0 205:739.0 206:106.0 207:4991.0 208:5365.0 209:1574.0 210:94.0 211:416.0 212:218.0 216:8.0 217:443.0 218:3.0 219:185.0 220:36.0 221:1273.0 222:317.0 223:219.0 224:132.0 225:32.0 229:32.0 230:75.0 231:129.0 232:33.0 233:209.0 234:82.0 235:46.0 237:81.0 238:97.0 239:168.0 240:36.0 242:22.0 243:37.0 246:21.0 247:23.0 249:676.0 250:268.0 251:567.0 252:187.0 253:393.0 254:33.0 255:196.0 256:54.0 257:32.0 259:69.0 261:29.0 262:22.0 264:78.0 265:809.0 266:430.0 267:805.0 268:257.0 269:324.0 270:40.0 271:74.0 272:9.0 273:70.0 277:84.0 278:8.0 280:50.0 281:1369.0 282:375.0 283:914.0 284:214.0 285:50.0 286:34.0 289:10.0 292:18.0 293:179.0 294:7.0 295:170.0 296:338.0 297:94.0 298:21.0 299:7.0 301:11.0 303:5.0 305:36.0 309:22.0 310:29.0 311:23.0 312:63.0 313:183.0 315:49.0 316:74.0 317:22.0 320:8.0 321:12.0 322:7.0 323:7.0 325:202.0 326:170.0 327:543.0 328:86.0 329:50.0 330:32.0 331:57.0 333:7.0 338:30.0 339:129.0 341:520.0 342:190.0 343:50.0 344:77.0 345:12.0 349:2.0 350:1.0 353:32.0 355:703.0 356:76.0 357:347.0 358:121.0 361:32.0 365:8.0 367:82.0 368:69.0 369:185.0 370:144.0 371:6.0 376:2.0 382:26.0 385:33.0 386:37.0 387:176.0 388:95.0 390:10.0 391:4.0 392:24.0 397:10.0 399:92.0 400:61.0 401:160.0 402:211.0 403:75.0 404:45.0 405:12.0 407:6.0 411:11.0 414:51.0 415:145.0 416:111.0 417:138.0 418:11.0 419:34.0 420:19.0 424:14.0 426:9.0 427:19.0 428:36.0 430:263.0 431:160.0 432:13.0 434:14.0 437:8.0 439:22.0 441:10.0 445:24.0 454:18.0 457:20.0 458:25.0 461:177.0 462:46.0 463:40.0 465:4.0 467:3.0 468:6.0 474:31.0 475:153.0 476:149.0 477:95.0 478:27.0 479:18.0 480:25.0 481:9.0 484:34.0 487:6.0 489:29.0 491:126.0 492:39.0 496:9.0</t>
  </si>
  <si>
    <t>207</t>
  </si>
  <si>
    <t>330991</t>
  </si>
  <si>
    <t>1240953</t>
  </si>
  <si>
    <t>88:627.0 89:674.0 91:70.0 92:17.0 96:5707.0 97:644.0 98:158.0 103:350.0 105:33.0 115:1192.0 116:121.0 119:213.0 120:557.0 121:9.0 122:5.0 123:46.0 125:322.0 130:15.0 135:344.0 137:206.0 138:3.0 150:169.0 151:70.0 154:119.0 156:136.0 158:11.0 159:115.0 161:746.0 162:637.0 163:1112.0 164:237.0 165:410.0 166:322.0 167:132.0 173:2.0 175:80.0 176:207.0 177:1037.0 178:480.0 179:629.0 181:11.0 189:426.0 190:23.0 191:1870.0 192:25.0 193:1771.0 194:585.0 195:420.0 196:138.0 197:5.0 198:40.0 200:12.0 202:69.0 203:76.0 205:602.0 206:242.0 207:9227.0 208:4328.0 209:1692.0 211:709.0 212:41.0 213:103.0 215:14.0 217:65.0 218:52.0 219:119.0 221:377.0 222:490.0 223:280.0 224:11.0 226:17.0 228:30.0 230:80.0 233:39.0 234:129.0 235:295.0 236:50.0 237:165.0 238:78.0 239:26.0 245:22.0 249:948.0 250:573.0 251:87.0 252:305.0 253:484.0 254:116.0 255:79.0 257:13.0 259:18.0 261:77.0 263:5.0 264:9.0 265:516.0 267:883.0 268:461.0 269:98.0 270:158.0 271:37.0 274:22.0 276:50.0 278:33.0 280:15.0 281:2712.0 282:185.0 283:496.0 284:355.0 285:271.0 286:59.0 287:14.0 292:29.0 293:277.0 295:219.0 296:182.0 297:93.0 298:33.0 299:57.0 301:2.0 306:17.0 309:54.0 310:84.0 312:35.0 313:226.0 314:57.0 315:13.0 319:3.0 323:72.0 324:51.0 325:130.0 327:492.0 328:272.0 330:1.0 331:73.0 332:6.0 334:1.0 336:28.0 337:60.0 340:130.0 341:434.0 342:213.0 343:303.0 344:32.0 345:82.0 346:17.0 349:31.0 351:16.0 352:20.0 353:11.0 354:95.0 355:300.0 356:139.0 357:309.0 358:55.0 359:15.0 364:3.0 365:15.0 366:4.0 367:85.0 369:206.0 370:49.0 372:60.0 373:28.0 374:39.0 375:44.0 381:78.0 383:113.0 386:54.0 387:87.0 388:154.0 389:69.0 393:16.0 394:1.0 397:7.0 398:5.0 400:72.0 401:260.0 402:116.0 403:92.0 404:5.0 406:8.0 413:22.0 414:59.0 416:90.0 417:79.0 419:5.0 427:101.0 428:54.0 429:172.0 430:203.0 431:58.0 432:39.0 434:11.0 441:5.0 442:12.0 443:38.0 444:2.0 445:150.0 446:7.0 447:86.0 448:16.0 449:3.0 459:25.0 460:35.0 461:61.0 462:209.0 463:36.0 473:7.0 474:17.0 476:160.0 478:2.0 484:18.0 488:19.0 489:94.0 490:96.0 491:33.0 492:53.0 493:22.0 497:13.0</t>
  </si>
  <si>
    <t>330990</t>
  </si>
  <si>
    <t>1224935</t>
  </si>
  <si>
    <t>87:417.0 88:153.0 89:710.0 90:658.0 94:25.0 96:7041.0 97:1306.0 98:19.0 102:397.0 103:1482.0 104:490.0 105:814.0 106:14.0 111:332.0 112:115.0 115:628.0 116:53.0 117:288.0 119:2176.0 120:892.0 121:843.0 122:24.0 123:87.0 125:765.0 133:1846.0 135:957.0 137:11.0 145:405.0 150:373.0 153:18.0 157:40.0 159:211.0 161:884.0 162:315.0 163:2105.0 164:546.0 165:1280.0 167:412.0 168:50.0 173:45.0 174:61.0 175:569.0 176:465.0 178:679.0 179:930.0 180:243.0 181:285.0 182:188.0 186:2.0 187:11.0 188:73.0 189:164.0 190:244.0 191:5302.0 192:1516.0 193:1744.0 194:367.0 195:441.0 196:49.0 197:194.0 198:10.0 200:35.0 201:28.0 202:72.0 203:251.0 204:134.0 205:602.0 206:423.0 207:20120.0 208:3746.0 209:2763.0 210:520.0 211:690.0 212:157.0 213:64.0 216:15.0 217:233.0 219:224.0 220:78.0 221:506.0 222:407.0 223:519.0 224:96.0 225:214.0 230:67.0 231:90.0 234:28.0 235:71.0 236:64.0 237:379.0 238:166.0 239:93.0 245:73.0 247:127.0 249:979.0 250:266.0 251:376.0 252:233.0 253:417.0 254:137.0 255:136.0 260:24.0 261:8.0 262:32.0 263:125.0 264:97.0 265:867.0 266:111.0 267:385.0 268:254.0 269:132.0 270:73.0 271:88.0 272:38.0 273:22.0 274:23.0 277:125.0 278:41.0 279:246.0 280:442.0 281:900.0 282:1105.0 283:1076.0 284:328.0 285:252.0 286:55.0 287:3.0 292:68.0 293:128.0 294:18.0 295:315.0 296:114.0 297:15.0 298:57.0 299:116.0 305:40.0 307:91.0 309:4.0 310:1.0 311:3.0 313:199.0 314:26.0 315:77.0 319:28.0 321:36.0 322:38.0 323:118.0 325:382.0 327:157.0 328:82.0 329:169.0 330:64.0 331:48.0 332:32.0 334:7.0 335:23.0 336:7.0 338:11.0 339:64.0 341:165.0 342:468.0 343:228.0 344:171.0 345:16.0 346:16.0 347:27.0 353:90.0 354:42.0 355:491.0 356:555.0 357:196.0 358:115.0 359:20.0 361:20.0 366:17.0 367:121.0 368:14.0 369:303.0 370:98.0 371:49.0 372:48.0 373:31.0 374:29.0 375:4.0 381:17.0 382:32.0 384:29.0 385:168.0 386:142.0 387:90.0 388:83.0 389:41.0 390:29.0 392:5.0 394:9.0 395:4.0 399:82.0 400:108.0 401:100.0 402:68.0 403:195.0 404:17.0 412:20.0 414:57.0 415:396.0 416:164.0 417:66.0 418:24.0 419:47.0 424:32.0 425:43.0 427:13.0 428:73.0 429:334.0 430:69.0 431:97.0 432:70.0 435:5.0 442:17.0 443:44.0 445:44.0 446:8.0 447:53.0 448:39.0 460:21.0 461:273.0 462:123.0 463:99.0 466:8.0 473:120.0 475:182.0 477:76.0 478:29.0 485:12.0 487:19.0 489:36.0 490:99.0 491:163.0 492:33.0 493:20.0 496:13.0 500:12.0</t>
  </si>
  <si>
    <t>326867</t>
  </si>
  <si>
    <t>814907</t>
  </si>
  <si>
    <t>85:87.0 87:124.0 89:568.0 99:79.0 101:1507.0 102:102.0 103:6219.0 104:410.0 105:170.0 113:17.0 114:6.0 115:30.0 116:462.0 117:2247.0 118:187.0 119:78.0 122:2.0 129:3706.0 130:381.0 131:1106.0 133:1679.0 141:13.0 142:28.0 143:917.0 144:112.0 145:808.0 146:12.0 147:7669.0 148:903.0 149:590.0 150:59.0 153:52.0 155:148.0 157:270.0 158:75.0 159:180.0 161:73.0 163:22.0 167:19.0 169:702.0 170:50.0 171:9.0 173:74.0 175:155.0 177:193.0 178:28.0 181:17.0 183:82.0 184:11.0 188:12.0 189:1999.0 190:346.0 191:1749.0 192:210.0 193:175.0 198:9.0 203:441.0 204:20124.0 205:4220.0 206:1633.0 207:99.0 208:43.0 209:22.0 210:1.0 215:45.0 216:9.0 217:3615.0 218:977.0 219:931.0 220:133.0 221:265.0 222:77.0 223:46.0 227:31.0 229:16.0 230:21.0 231:302.0 233:101.0 234:68.0 235:53.0 243:248.0 244:3.0 245:60.0 247:34.0 249:18.0 257:55.0 259:24.0 260:39.0 263:55.0 265:8.0 267:4.0 271:225.0 272:19.0 273:4.0 274:9.0 275:21.0 277:23.0 278:8.0 281:171.0 290:4.0 291:100.0 292:17.0 293:51.0 299:19.0 305:202.0 306:48.0 307:201.0 308:55.0 309:39.0 317:1.0 319:86.0 321:18.0 323:39.0 324:30.0 325:3.0 327:56.0 331:26.0 332:56.0 337:431.0 338:117.0 339:53.0 340:6.0 343:11.0 345:2.0 346:13.0 348:2.0 349:6.0 350:1.0 351:525.0 352:146.0 353:43.0 354:47.0 355:25.0 356:24.0 357:9.0 360:9.0 361:392.0 362:110.0 363:6.0 364:36.0 365:4.0 379:11.0 388:21.0 393:16.0 395:4.0 401:42.0 402:15.0 403:6.0 415:11.0 425:3.0 428:8.0 441:31.0 459:9.0 462:17.0 465:22.0 466:8.0 471:4.0 476:18.0 477:19.0 491:7.0</t>
  </si>
  <si>
    <t>151</t>
  </si>
  <si>
    <t>85</t>
  </si>
  <si>
    <t>321617</t>
  </si>
  <si>
    <t>356375</t>
  </si>
  <si>
    <t>85:173.0 86:329.0 88:72.0 89:245.0 93:92.0 94:2.0 96:2.0 97:1.0 99:2489.0 100:338.0 101:3.0 104:1.0 105:14.0 106:203.0 107:234.0 110:1184.0 113:49.0 114:251.0 115:121.0 116:100.0 118:129.0 123:30.0 124:3.0 126:9.0 127:1362.0 128:316.0 129:51.0 130:2345.0 131:199.0 132:133.0 133:951.0 134:441.0 135:172.0 137:60.0 139:38.0 140:24.0 142:59.0 143:242.0 144:6.0 147:775.0 149:156.0 151:47.0 154:5.0 155:1.0 156:1324.0 158:219.0 160:80.0 161:63.0 165:91.0 166:34.0 167:1.0 170:3.0 171:62.0 172:1.0 176:9.0 180:195.0 181:58.0 182:76.0 183:29.0 184:7302.0 185:962.0 186:148.0 193:249.0 194:49.0 195:202.0 199:209.0 211:735.0 212:9.0 216:29.0 221:1042.0 222:226.0 223:384.0 224:9.0 238:1.0 242:10.0 243:4.0 246:14.0 255:7.0 259:6.0 262:20.0 265:461.0 266:126.0 271:161.0 278:6.0 283:198.0 284:30.0 285:182.0 286:134.0 294:39.0 295:21.0 296:9.0 298:10.0 299:2896.0 300:541.0 301:306.0 302:96.0 314:428.0 315:97.0 316:25.0 328:58.0 329:41.0 330:23.0 331:5.0 333:5.0 341:22.0 343:16.0 344:27.0 345:19.0 346:27.0 347:6.0 348:3.0 356:1.0 359:1001.0 360:332.0 361:113.0 362:65.0 373:356.0 374:188.0 375:67.0 376:55.0 377:4.0 378:25.0 380:26.0 384:4.0 391:13.0 393:16.0 394:8.0 395:7.0 396:35.0 397:18.0 398:2.0 405:20.0 409:24.0 410:10.0 414:20.0 415:13.0 416:20.0 420:8.0 425:2.0 427:19.0 428:22.0 433:24.0 436:22.0 442:2.0 446:4.0 447:73.0 448:39.0 449:14.0 451:4.0 452:18.0 459:3.0 462:19.0 463:2.0 465:19.0 466:21.0 467:5.0 468:24.0 469:7.0 471:18.0 474:1.0 475:14.0 477:2.0 481:3.0 485:14.0 487:6.0 488:19.0 490:19.0 494:3.0 495:1.0 498:19.0</t>
  </si>
  <si>
    <t>318794</t>
  </si>
  <si>
    <t>588460</t>
  </si>
  <si>
    <t>85:206.0 86:3558.0 87:1942.0 88:650.0 89:677.0 90:42.0 97:129.0 98:1400.0 99:662.0 100:1514.0 101:472.0 102:1275.0 103:15930.0 104:1826.0 105:669.0 107:52.0 108:14.0 113:397.0 115:267.0 116:248.0 117:794.0 119:211.0 121:117.0 122:57.0 126:343.0 127:79.0 128:774.0 129:4688.0 130:2126.0 131:1585.0 132:326.0 133:3156.0 134:300.0 135:24.0 136:304.0 137:24.0 138:136.0 141:8.0 142:889.0 143:2411.0 144:224.0 146:36.0 147:12197.0 148:2168.0 149:1684.0 150:128.0 151:136.0 152:124.0 153:76.0 156:258.0 157:1766.0 158:441.0 159:30.0 164:93.0 167:104.0 168:164.0 169:144.0 171:520.0 172:435.0 173:134.0 174:11762.0 175:1881.0 176:1188.0 177:144.0 180:1.0 182:115.0 183:146.0 184:1439.0 185:7.0 187:77.0 188:103.0 189:700.0 190:243.0 191:1424.0 193:325.0 195:42.0 196:93.0 197:29.0 199:154.0 201:166.0 202:76.0 203:315.0 204:263.0 205:286.0 206:2.0 207:215.0 210:128.0 212:111.0 214:881.0 215:394.0 217:12232.0 218:2613.0 219:1109.0 220:288.0 221:936.0 224:25.0 227:32.0 228:63.0 229:211.0 230:212.0 231:559.0 232:181.0 233:94.0 236:30.0 237:116.0 238:81.0 239:37.0 242:57.0 243:45.0 244:11.0 245:324.0 246:33.0 247:2.0 252:70.0 257:379.0 258:15.0 259:31.0 261:62.0 262:6.0 265:70.0 269:12.0 277:501.0 278:146.0 279:69.0 280:39.0 281:65.0 284:22.0 286:51.0 289:7.0 291:88.0 292:4413.0 293:1182.0 294:673.0 295:131.0 300:6.0 303:76.0 304:14.0 305:313.0 306:68.0 307:1950.0 308:610.0 309:312.0 310:3.0 312:44.0 314:50.0 315:164.0 316:24.0 318:42.0 319:663.0 320:163.0 321:95.0 322:4.0 323:6.0 327:55.0 328:10.0 329:40.0 331:106.0 332:98.0 333:3579.0 334:1189.0 335:522.0 336:192.0 337:16.0 339:33.0 340:2.0 341:84.0 343:5.0 346:33.0 347:165.0 356:40.0 357:54.0 361:99.0 362:25.0 364:14.0 365:34.0 367:4.0 373:40.0 374:19.0 375:7.0 377:45.0 385:37.0 387:71.0 388:55.0 390:22.0 391:12.0 392:4.0 393:314.0 394:111.0 395:64.0 396:1.0 397:26.0 399:1.0 402:2.0 404:24.0 406:39.0 408:4.0 409:22.0 410:1.0 411:3.0 412:4.0 415:6.0 416:5.0 420:6.0 421:82.0 422:27.0 423:30.0 425:3.0 426:1.0 430:8.0 432:6.0 443:9.0 445:52.0 448:15.0 449:1.0 451:98.0 455:15.0 457:6.0 459:23.0 467:3.0 470:2.0 472:1.0 482:24.0 488:8.0 492:4.0 495:2.0</t>
  </si>
  <si>
    <t>317187</t>
  </si>
  <si>
    <t>809952</t>
  </si>
  <si>
    <t>85:245.0 86:317.0 87:390.0 88:61.0 89:2935.0 90:168.0 91:213.0 93:64.0 94:117.0 98:342.0 99:19.0 100:435.0 101:2700.0 102:489.0 103:2340.0 104:341.0 105:1357.0 106:203.0 110:349.0 111:137.0 112:199.0 113:544.0 114:512.0 115:557.0 116:1313.0 117:577.0 118:92.0 119:517.0 121:126.0 122:162.0 123:147.0 124:129.0 126:102.0 127:55.0 128:178.0 129:4334.0 130:746.0 131:1749.0 132:63.0 133:3282.0 134:470.0 135:343.0 136:97.0 137:340.0 138:84.0 140:123.0 141:122.0 142:247.0 143:536.0 144:90.0 145:244.0 147:6188.0 148:1030.0 149:1177.0 150:109.0 151:284.0 152:174.0 155:94.0 157:2211.0 158:446.0 159:162.0 160:4297.0 161:1123.0 162:230.0 163:340.0 166:130.0 167:41.0 168:62.0 169:153.0 170:152.0 171:107.0 172:91.0 173:359.0 174:44.0 175:62.0 180:70.0 181:208.0 182:44.0 183:134.0 185:141.0 186:330.0 187:163.0 188:29.0 189:363.0 190:15.0 191:683.0 193:267.0 194:191.0 195:180.0 196:5.0 197:99.0 198:64.0 200:30.0 201:12.0 203:99.0 204:596.0 205:285.0 207:584.0 208:71.0 209:60.0 210:148.0 211:1710.0 212:452.0 213:181.0 215:186.0 216:275.0 217:1489.0 218:396.0 219:156.0 220:94.0 224:33.0 225:733.0 226:71.0 227:437.0 228:349.0 229:142.0 230:352.0 231:420.0 232:278.0 233:12.0 234:91.0 235:21.0 236:3.0 239:57.0 240:56.0 241:9.0 242:128.0 243:307.0 244:76.0 245:15.0 246:27.0 247:932.0 248:261.0 250:19.0 253:222.0 255:44.0 257:15.0 259:67.0 260:58.0 262:78.0 264:19.0 266:66.0 268:67.0 269:199.0 270:35.0 271:58.0 272:66.0 274:94.0 275:17.0 276:52.0 277:51.0 278:17.0 279:15.0 283:102.0 284:72.0 285:212.0 286:66.0 289:31.0 291:100.0 292:4.0 293:52.0 297:6.0 298:95.0 299:4583.0 300:1574.0 301:649.0 302:114.0 303:32.0 306:83.0 307:1.0 309:23.0 310:26.0 311:3.0 313:29.0 314:217.0 315:2070.0 316:570.0 317:254.0 318:117.0 319:106.0 320:53.0 327:31.0 331:351.0 332:115.0 333:77.0 335:40.0 336:6.0 337:31.0 338:168.0 340:11.0 341:235.0 342:166.0 343:115.0 344:5.0 345:7.0 350:9.0 351:9.0 356:20.0 357:1756.0 358:425.0 359:201.0 360:34.0 364:16.0 366:28.0 367:10.0 368:20.0 370:10.0 371:44.0 373:122.0 374:59.0 375:22.0 376:63.0 377:34.0 385:2.0 386:235.0 387:4590.0 388:1655.0 389:1023.0 390:269.0 391:76.0 392:9.0 393:5.0 403:6.0 407:38.0 408:47.0 409:27.0 434:14.0 439:7.0 449:3.0 450:2.0 454:19.0 459:39.0 461:20.0 464:3.0 470:2.0 471:339.0 472:155.0 473:72.0 474:16.0 475:35.0 478:20.0 489:11.0</t>
  </si>
  <si>
    <t>314899</t>
  </si>
  <si>
    <t>1164344</t>
  </si>
  <si>
    <t>85:199.0 93:173.0 94:160.0 95:822.0 96:522.0 97:57.0 98:334.0 99:204.0 101:108.0 103:630.0 104:7.0 105:213.0 109:189.0 112:24.0 113:58.0 114:4.0 115:7.0 116:8.0 117:132.0 119:161.0 120:3.0 121:66.0 122:118.0 123:97.0 124:80.0 125:164.0 128:38.0 129:7576.0 130:1079.0 131:1173.0 132:127.0 133:24.0 135:322.0 137:5.0 139:46.0 140:3.0 141:1.0 145:710.0 146:101.0 147:209.0 149:50.0 150:143.0 151:6.0 152:9.0 161:111.0 164:54.0 165:176.0 168:3.0 171:57.0 175:2.0 176:15.0 177:23.0 178:139.0 179:43.0 180:25.0 181:71.0 182:38.0 183:4.0 185:49.0 189:75.0 190:124.0 192:227.0 193:470.0 194:116.0 195:6.0 196:34.0 197:1.0 201:165.0 205:219.0 206:125.0 207:255.0 208:365.0 209:312.0 211:103.0 212:12.0 215:3.0 217:2.0 219:3.0 220:23.0 221:914.0 222:218.0 223:116.0 224:4.0 225:2.0 230:31.0 233:14.0 238:14.0 241:13.0 244:14.0 245:14.0 250:23.0 251:254.0 253:40.0 254:78.0 257:45.0 258:14.0 262:105.0 264:33.0 265:24.0 266:101.0 268:121.0 280:20.0 281:189.0 282:188.0 283:385.0 284:81.0 285:123.0 295:387.0 296:33.0 297:226.0 298:90.0 307:6.0 309:63.0 310:1.0 311:7.0 312:27.0 313:323.0 314:84.0 322:14.0 323:14.0 324:1.0 326:33.0 327:258.0 328:36.0 329:57.0 330:39.0 334:19.0 337:61.0 338:6.0 339:12.0 341:182.0 342:140.0 343:131.0 352:6.0 353:19.0 355:152.0 356:252.0 357:161.0 371:31.0 372:2.0 381:20.0 383:1.0 385:264.0 386:226.0 387:76.0 392:1.0 397:2.0 401:110.0 402:61.0 403:49.0 404:22.0 405:9.0 408:55.0 409:31.0 410:20.0 413:39.0 415:9.0 416:20.0 417:22.0 427:7.0 429:95.0 430:179.0 434:25.0 436:11.0 438:27.0 445:24.0 448:1.0 451:26.0 457:3.0 462:5.0 463:25.0 464:2.0 474:2.0 475:36.0 476:97.0 477:84.0 483:4.0 485:3.0 486:1.0 487:14.0 489:27.0 490:50.0</t>
  </si>
  <si>
    <t>310897</t>
  </si>
  <si>
    <t>675431</t>
  </si>
  <si>
    <t>85:41.0 86:79.0 87:239.0 89:757.0 90:15.0 93:4.0 95:11.0 100:643.0 101:530.0 102:272.0 103:1261.0 104:79.0 105:380.0 111:73.0 113:29.0 116:96.0 117:2498.0 118:212.0 126:26.0 128:132.0 129:2930.0 130:340.0 131:275.0 132:318.0 133:771.0 138:1.0 139:78.0 140:5.0 141:143.0 142:70.0 143:390.0 144:23.0 145:292.0 146:73.0 147:3060.0 148:229.0 149:261.0 150:5.0 151:7.0 154:1.0 156:3.0 157:1011.0 158:67.0 159:6051.0 160:688.0 161:168.0 162:3.0 167:113.0 168:62.0 172:31.0 173:74.0 175:98.0 176:17.0 177:24.0 181:20.0 183:564.0 184:118.0 185:31.0 187:11.0 188:9.0 189:348.0 190:72.0 191:41.0 193:27.0 195:34.0 197:37.0 200:38.0 201:587.0 202:13.0 203:185.0 205:2800.0 206:465.0 207:536.0 209:101.0 211:39.0 213:89.0 216:206.0 219:421.0 220:68.0 221:172.0 222:9.0 223:35.0 227:20.0 229:410.0 230:86.0 231:47.0 232:124.0 233:40.0 234:53.0 235:1.0 237:6.0 238:5.0 239:35.0 240:2.0 247:1.0 249:232.0 250:79.0 253:12.0 257:82.0 258:26.0 259:60.0 261:11.0 263:48.0 264:13.0 267:63.0 269:3.0 273:3.0 275:1.0 277:32.0 278:18.0 285:69.0 286:6.0 291:96.0 293:340.0 294:83.0 295:50.0 297:1.0 299:299.0 300:63.0 303:21.0 304:6.0 305:266.0 306:29.0 307:91.0 308:212.0 309:38.0 310:23.0 311:45.0 316:3.0 317:2.0 318:184.0 319:1419.0 320:393.0 321:224.0 322:27.0 330:7.0 331:69.0 333:6.0 337:11.0 341:51.0 355:9.0 357:53.0 359:1.0 369:9.0 375:26.0 381:1.0 388:108.0 389:348.0 390:142.0 391:25.0 401:14.0 429:10.0 441:1.0 447:15.0 449:4.0 450:4.0 491:15.0</t>
  </si>
  <si>
    <t>259</t>
  </si>
  <si>
    <t>223</t>
  </si>
  <si>
    <t>309882</t>
  </si>
  <si>
    <t>838254</t>
  </si>
  <si>
    <t>85:12.0 91:576.0 92:17.0 93:7.0 95:439.0 96:83.0 97:297.0 98:104.0 99:90.0 100:63.0 101:582.0 102:4.0 103:619.0 105:222.0 106:10.0 107:9.0 108:12.0 109:37.0 112:166.0 114:7.0 115:404.0 116:104.0 117:1581.0 119:32.0 120:7.0 121:237.0 122:3.0 123:30.0 124:27.0 128:594.0 129:1210.0 130:187.0 131:202.0 134:12.0 141:877.0 142:154.0 143:503.0 145:2.0 146:69.0 147:1152.0 148:98.0 149:588.0 150:30.0 152:189.0 153:405.0 154:97.0 155:200.0 157:114.0 159:36.0 165:181.0 167:138.0 168:57.0 169:216.0 171:180.0 172:30.0 173:375.0 174:11.0 175:54.0 177:75.0 178:1.0 179:1.0 181:236.0 183:168.0 184:58.0 185:138.0 186:74.0 188:9.0 192:5.0 195:113.0 196:55.0 197:266.0 199:116.0 201:17.0 202:36.0 203:11.0 204:531.0 208:110.0 211:122.0 214:9.0 217:189.0 218:37.0 221:1351.0 222:236.0 223:79.0 224:10.0 225:63.0 226:4.0 229:16.0 230:3.0 239:3909.0 240:777.0 241:39.0 249:51.0 252:13.0 253:7.0 255:77.0 256:11.0 257:17.0 258:1.0 259:10.0 261:2.0 262:7.0 263:1.0 265:95.0 267:172.0 268:5.0 270:1.0 271:10.0 273:8.0 281:120.0 282:181.0 283:114.0 284:62.0 285:17.0 287:2.0 294:2.0 295:431.0 296:90.0 297:35.0 298:44.0 299:320.0 300:88.0 301:2.0 302:12.0 303:2.0 304:1.0 311:170.0 312:102.0 314:197.0 315:33.0 319:11.0 324:15.0 325:114.0 326:20.0 329:47.0 332:2.0 338:7.0 341:183.0 343:132.0 344:31.0 346:3.0 349:25.0 355:95.0 356:17.0 357:3.0 358:1.0 359:6.0 360:1.0 363:11.0 364:1.0 366:11.0 369:120.0 370:12.0 371:19.0 383:1.0 385:124.0 386:53.0 387:17.0 399:8.0 401:315.0 402:82.0 403:35.0 404:49.0 409:1.0 413:6.0 415:127.0 416:45.0 422:4.0 429:36.0 430:3.0 431:1.0 447:1.0 451:5.0 457:21.0 475:19.0 476:2.0 477:21.0 499:1.0</t>
  </si>
  <si>
    <t>309644</t>
  </si>
  <si>
    <t>1007004</t>
  </si>
  <si>
    <t>85:695.0 86:56.0 89:294.0 90:325.0 91:3926.0 92:176.0 93:145.0 94:89.0 95:568.0 96:16.0 97:860.0 98:505.0 99:661.0 100:119.0 101:697.0 102:23.0 103:1164.0 105:382.0 107:282.0 109:169.0 110:121.0 111:616.0 112:41.0 113:123.0 114:43.0 115:188.0 116:111.0 117:1179.0 118:339.0 119:24514.0 120:2494.0 121:350.0 123:65.0 124:88.0 125:289.0 129:1009.0 130:372.0 133:688.0 135:671.0 137:169.0 139:75.0 141:70.0 142:1.0 143:2691.0 144:114.0 145:163.0 147:2631.0 148:98.0 149:1382.0 150:32.0 151:36.0 155:78.0 157:285.0 158:121.0 159:198.0 160:44.0 161:151.0 162:61.0 163:271.0 164:143.0 165:114.0 166:61.0 167:82.0 169:244.0 171:216.0 175:174.0 176:254.0 177:266.0 178:3.0 179:185.0 180:142.0 181:58.0 183:145.0 185:301.0 189:270.0 191:671.0 192:233.0 193:3074.0 194:928.0 195:376.0 197:353.0 198:14.0 199:253.0 201:58.0 203:78.0 204:247.0 205:436.0 206:286.0 207:2725.0 208:1134.0 209:507.0 210:216.0 212:36.0 215:79.0 217:680.0 218:56.0 221:248.0 222:182.0 223:182.0 225:30.0 229:601.0 230:140.0 231:428.0 232:79.0 234:5.0 237:120.0 239:124.0 240:24.0 241:140.0 242:56.0 243:92.0 244:26.0 246:22.0 247:101.0 248:3.0 249:58.0 250:91.0 251:374.0 252:187.0 253:208.0 254:187.0 255:171.0 257:56.0 258:2.0 259:111.0 260:24.0 261:58.0 263:734.0 264:146.0 265:459.0 266:103.0 267:172.0 268:117.0 272:53.0 275:209.0 276:413.0 277:216.0 278:54.0 279:65.0 280:57.0 281:1083.0 282:231.0 283:134.0 284:28.0 285:43.0 290:17.0 291:13.0 294:7.0 295:367.0 296:6.0 297:158.0 301:41.0 305:3.0 306:16.0 307:104.0 311:218.0 313:188.0 314:47.0 315:69.0 316:39.0 317:71.0 320:4.0 323:54.0 324:3.0 325:354.0 326:286.0 327:507.0 328:220.0 329:44.0 330:13.0 331:154.0 332:43.0 333:1.0 336:16.0 339:61.0 340:35.0 341:513.0 342:271.0 344:37.0 346:16.0 347:8.0 354:10.0 355:366.0 356:194.0 357:110.0 359:11.0 362:20.0 364:7.0 365:153.0 366:38.0 367:101.0 368:9.0 369:32.0 370:31.0 375:52.0 377:25.0 378:20.0 379:55.0 382:68.0 384:32.0 385:15.0 386:32.0 387:62.0 388:57.0 389:1.0 392:8.0 393:9.0 394:41.0 397:48.0 398:1.0 399:6.0 400:28.0 401:106.0 403:34.0 404:28.0 405:29.0 406:17.0 410:271.0 411:61.0 413:2.0 415:85.0 416:90.0 417:86.0 419:7.0 425:4.0 427:32.0 428:14.0 429:143.0 431:120.0 439:12.0 445:25.0 446:24.0 447:6.0 454:30.0 455:27.0 456:9.0 461:5.0 462:61.0 463:19.0 464:37.0 467:44.0 474:38.0 475:105.0 477:75.0 479:15.0 480:21.0 482:13.0 486:8.0 487:1.0 488:3.0 489:84.0 490:14.0 491:109.0 492:11.0 500:23.0</t>
  </si>
  <si>
    <t>309642</t>
  </si>
  <si>
    <t>227707</t>
  </si>
  <si>
    <t>85:2112.0 86:2692.0 87:3442.0 88:8635.0 89:4668.0 90:1118.0 91:984.0 92:108.0 93:600.0 95:1099.0 96:173.0 97:2311.0 98:2706.0 99:7026.0 100:544.0 101:10715.0 102:2112.0 103:7522.0 104:950.0 105:5433.0 106:414.0 107:326.0 108:86.0 110:781.0 111:133.0 113:1257.0 114:296.0 115:3235.0 116:24992.0 117:147321.0 118:15786.0 119:7780.0 120:368.0 126:71.0 128:382.0 129:32801.0 130:1978.0 131:68922.0 132:42643.0 133:21559.0 134:1791.0 135:1135.0 136:437.0 137:65.0 143:4070.0 144:357.0 145:15392.0 146:2269.0 147:152171.0 148:20630.0 149:12449.0 150:1530.0 151:217.0 153:50.0 155:2798.0 156:373.0 159:4480.0 160:490.0 161:8432.0 162:1220.0 163:444.0 164:42.0 171:240.0 172:48.0 173:163017.0 174:22629.0 175:7568.0 176:698.0 177:23071.0 178:3790.0 179:1614.0 180:100.0 183:80.0 184:730.0 185:100.0 186:149.0 187:54.0 188:925.0 189:75.0 190:471.0 194:7.0 199:4.0 201:139.0 205:12156.0 206:2237.0 207:635.0 251:5.0 255:10.0 328:3.0 395:1.0 413:10.0 416:10.0 477:2.0 493:7.0</t>
  </si>
  <si>
    <t>309631</t>
  </si>
  <si>
    <t>232910</t>
  </si>
  <si>
    <t>85:500.0 86:756.0 87:583.0 88:459.0 92:217.0 97:436.0 98:810.0 99:282.0 100:1416.0 101:95.0 102:349.0 104:53.0 106:297.0 112:103.0 113:244.0 114:2396.0 115:538.0 117:69.0 121:1.0 122:46.0 123:174.0 125:204.0 126:268.0 127:508.0 128:1371.0 129:1344.0 130:41490.0 131:5024.0 132:1949.0 133:303.0 134:360.0 139:52.0 140:5.0 143:23.0 144:31.0 146:3614.0 147:9218.0 148:1920.0 156:1.0 157:10.0 163:5.0 168:317.0 169:77.0 172:1.0 193:2.0 196:35.0 199:42.0 201:75.0 215:3.0 218:865.0 223:19.0 225:2.0 255:68.0 265:1.0 270:45.0 312:1.0 313:1.0 372:1.0</t>
  </si>
  <si>
    <t>303956</t>
  </si>
  <si>
    <t>560764</t>
  </si>
  <si>
    <t>86:2019.0 87:42.0 89:127.0 93:23.0 98:175.0 99:77.0 100:771.0 102:245.0 107:2338.0 110:849.0 125:46.0 127:99.0 128:631.0 130:95.0 134:4.0 138:1.0 141:498.0 142:552.0 144:230.0 155:151.0 156:85.0 158:111.0 160:142.0 171:739.0 172:115.0 173:62.0 174:4899.0 175:853.0 176:221.0 184:250.0 186:13.0 190:108.0 200:107.0 212:20.0 213:163.0 214:50.0 216:110.0 217:2.0 218:287.0 219:110.0 228:1.0 229:25.0 232:62.0 243:11.0 244:77.0 245:1.0 248:1.0 252:9.0 257:39.0 260:27.0 264:2.0 272:1.0 275:751.0 276:127.0 277:33.0 285:9.0 289:33.0 299:4.0 302:61.0 304:14.0 306:63.0 307:15.0 308:24.0 311:9.0 318:3.0 348:30.0 357:16.0 361:1.0 380:7.0 381:6.0 397:3.0 399:18.0 400:18.0 403:24.0 417:1.0 449:8.0 454:4.0 461:6.0 462:23.0</t>
  </si>
  <si>
    <t>297</t>
  </si>
  <si>
    <t>301788</t>
  </si>
  <si>
    <t>317298</t>
  </si>
  <si>
    <t>85:414.0 86:6863.0 87:1947.0 88:6481.0 89:1383.0 90:1979.0 91:5385.0 92:1239.0 93:746.0 95:108.0 96:677.0 97:698.0 98:278.0 99:157.0 100:8503.0 101:814.0 102:709.0 103:1032.0 104:3889.0 105:679.0 106:1408.0 107:66225.0 108:3848.0 109:1920.0 110:24422.0 111:876.0 112:12.0 113:76.0 114:571.0 115:156.0 116:376.0 118:8302.0 119:1226.0 120:580.0 126:1824.0 127:6701.0 130:59493.0 131:10397.0 132:2713.0 133:87.0 134:88948.0 135:12574.0 136:4477.0 137:59.0 138:118.0 143:2903.0 144:473.0 146:3021.0 147:33476.0 148:5120.0 149:2320.0 154:15.0 160:225.0 180:105.0 181:24.0 184:26664.0 185:3472.0 186:652.0 191:236.0 199:2535.0 200:231.0 201:45.0 207:247.0 215:22.0 221:192.0 281:14.0 341:28.0</t>
  </si>
  <si>
    <t>301616</t>
  </si>
  <si>
    <t>307142</t>
  </si>
  <si>
    <t>85:2076.0 86:12678.0 87:3581.0 88:14923.0 89:4277.0 90:3789.0 91:11969.0 92:1506.0 93:1600.0 94:132.0 95:435.0 96:1399.0 97:1218.0 98:291.0 99:341.0 100:11448.0 101:1790.0 102:1602.0 103:1742.0 104:4018.0 105:2191.0 106:3763.0 107:108257.0 108:7918.0 109:2773.0 110:39837.0 111:1752.0 112:84.0 113:184.0 114:1067.0 115:662.0 116:515.0 117:1448.0 118:15424.0 119:2758.0 120:772.0 121:57.0 125:125.0 126:3332.0 127:13067.0 128:362.0 129:78.0 130:112901.0 131:19391.0 132:6023.0 133:2178.0 134:172056.0 135:17003.0 136:6406.0 137:304.0 138:53.0 139:182.0 140:16.0 143:6519.0 144:477.0 145:240.0 146:6596.0 147:69208.0 148:10148.0 149:4247.0 150:281.0 155:96.0 156:133.0 157:15.0 159:6.0 160:573.0 162:91.0 163:71.0 164:21.0 165:38.0 166:16.0 167:44.0 169:57.0 178:13.0 179:13.0 180:367.0 181:9.0 183:28.0 184:37470.0 185:4897.0 186:1346.0 187:16.0 191:813.0 192:136.0 198:160.0 199:4562.0 200:392.0 201:69.0 207:529.0 210:9.0 248:3.0 272:55.0 320:6.0 351:13.0 367:1.0 376:4.0 407:1.0 417:12.0 473:4.0</t>
  </si>
  <si>
    <t>301584</t>
  </si>
  <si>
    <t>247575</t>
  </si>
  <si>
    <t>85:1329.0 86:1584.0 87:148.0 88:3040.0 89:559.0 90:655.0 91:2104.0 92:478.0 93:121.0 95:338.0 96:341.0 97:331.0 99:370.0 100:1257.0 102:52.0 103:657.0 104:867.0 106:274.0 107:20038.0 108:2360.0 109:635.0 110:8267.0 111:374.0 112:182.0 114:297.0 116:267.0 118:3480.0 119:717.0 120:63.0 123:12.0 124:52.0 125:141.0 126:483.0 127:2480.0 130:25440.0 131:345.0 132:785.0 133:108.0 134:32537.0 135:3471.0 136:1263.0 137:13.0 138:197.0 139:80.0 140:36.0 143:1587.0 144:241.0 145:124.0 146:1821.0 147:15415.0 148:2198.0 150:111.0 152:11.0 154:60.0 155:522.0 156:108.0 159:60.0 160:292.0 162:41.0 163:99.0 166:82.0 167:14.0 168:21.0 169:27.0 170:50.0 172:41.0 173:9.0 175:71.0 176:147.0 177:10.0 178:106.0 183:124.0 184:13506.0 185:1336.0 186:420.0 187:31.0 188:50.0 189:23.0 190:3.0 192:103.0 196:13.0 197:5.0 199:1259.0 200:276.0 201:73.0 202:44.0 206:2.0 210:51.0 214:17.0 215:3.0 221:37.0 222:18.0 225:189.0 226:46.0 227:8.0 228:20.0 229:25.0 233:5.0 234:3.0 236:19.0 238:66.0 240:184.0 241:26.0 242:3.0 243:12.0 247:27.0 251:8.0 252:1.0 257:4.0 258:8.0 260:3.0 261:15.0 262:4.0 263:6.0 270:25.0 271:1.0 272:14.0 274:16.0 277:25.0 278:138.0 279:8.0 280:19.0 282:91.0 287:5.0 288:20.0 297:10.0 300:27.0 305:25.0 306:20.0 308:38.0 309:20.0 310:17.0 311:10.0 312:31.0 313:4.0 318:5.0 322:18.0 327:51.0 328:6.0 329:26.0 332:95.0 333:58.0 334:10.0 335:26.0 336:36.0 344:12.0 346:23.0 347:19.0 349:8.0 350:28.0 351:7.0 357:37.0 360:8.0 364:10.0 367:1.0 369:19.0 373:1.0 374:10.0 376:20.0 377:15.0 380:36.0 381:15.0 383:37.0 384:4.0 389:20.0 390:11.0 391:28.0 392:24.0 393:49.0 395:8.0 396:23.0 398:31.0 401:22.0 403:21.0 404:11.0 405:24.0 406:1.0 407:11.0 408:3.0 409:13.0 411:7.0 412:3.0 421:18.0 422:15.0 423:28.0 425:1.0 426:23.0 427:20.0 434:16.0 435:14.0 437:17.0 439:37.0 440:4.0 441:15.0 444:28.0 446:18.0 448:2.0 451:19.0 452:12.0 453:2.0 456:7.0 459:5.0 461:12.0 463:1.0 464:16.0 465:15.0 468:12.0 469:4.0 470:9.0 471:22.0 472:41.0 473:16.0 474:19.0 476:6.0 478:12.0 479:11.0 480:18.0 481:10.0 482:4.0 483:7.0 484:15.0 485:25.0 486:17.0 487:1.0 490:14.0 494:21.0 496:8.0 498:31.0 499:4.0 500:6.0</t>
  </si>
  <si>
    <t>301399</t>
  </si>
  <si>
    <t>298718</t>
  </si>
  <si>
    <t>197</t>
  </si>
  <si>
    <t>85:356.0 88:122.0 89:117.0 90:46.0 91:39.0 93:120.0 94:64.0 98:76.0 99:159.0 100:257.0 102:500.0 103:758.0 104:198.0 106:251.0 107:991.0 108:780.0 109:213.0 110:1268.0 112:69.0 114:68.0 118:212.0 124:71.0 125:6.0 126:289.0 127:358.0 128:10.0 130:515.0 132:316.0 134:637.0 136:213.0 137:3.0 138:18.0 143:49.0 144:169.0 146:50.0 147:333.0 148:214.0 151:100.0 152:65.0 153:14.0 155:2.0 156:12.0 159:54.0 161:9.0 162:83.0 168:3.0 172:418.0 176:259.0 177:3478.0 178:240.0 181:8.0 184:540.0 185:115.0 186:28.0 196:5.0 197:2162.0 198:307.0 199:172.0 200:5.0 210:31.0 218:24.0 224:12.0 251:46.0 274:2.0 275:13.0 308:3.0 316:7.0 319:2.0 329:7.0 331:9.0 332:2.0 351:17.0 359:14.0 376:13.0 380:12.0 381:1.0 391:8.0 395:12.0 398:11.0 399:8.0 417:17.0 420:6.0 421:2.0 422:5.0 426:1.0 435:2.0 439:6.0 450:2.0 475:16.0 476:5.0 479:3.0 494:5.0 499:1.0</t>
  </si>
  <si>
    <t>301006</t>
  </si>
  <si>
    <t>420920</t>
  </si>
  <si>
    <t>87:237.0 88:78.0 92:33.0 97:131.0 98:270.0 99:108.0 100:3749.0 101:331.0 102:24.0 103:47.0 107:185.0 110:149.0 111:35.0 113:6.0 114:7.0 115:45.0 118:28.0 127:52.0 128:3.0 131:43.0 144:72.0 145:31.0 147:306.0 148:118.0 156:31.0 158:47.0 172:5.0 184:7.0 198:10.0 203:10.0 204:15.0 214:14.0 232:1.0 234:219.0 261:72.0 293:3.0 328:7.0 344:3.0 346:7.0 374:5.0 380:6.0 421:6.0 422:3.0 434:15.0 449:1.0 484:7.0</t>
  </si>
  <si>
    <t>300280</t>
  </si>
  <si>
    <t>498851</t>
  </si>
  <si>
    <t>85:13700.0 86:482.0 87:174.0 91:462.0 92:87.0 93:293.0 95:135.0 97:697.0 98:554.0 99:3307.0 100:89.0 105:270.0 107:127.0 110:830.0 111:1368.0 112:1031.0 113:1578.0 114:363.0 119:1800.0 120:55.0 125:466.0 126:850.0 127:318.0 130:293.0 131:278.0 136:79.0 142:47.0 146:138.0 147:935.0 152:154.0 153:44.0 154:55.0 155:585.0 159:77.0 160:60.0 163:8.0 169:406.0 170:30.0 179:41.0 184:58.0 185:8.0 193:175.0 194:13.0 197:25.0 199:4.0 202:1.0 205:126.0 211:16.0 216:34.0 220:151.0 227:17.0 232:2.0 237:2.0 246:6.0 259:3.0 260:20.0 261:21.0 266:30.0 269:6.0 274:5.0 275:11.0 280:3.0 281:89.0 282:10.0 286:13.0 295:4.0 302:6.0 309:261.0 310:46.0 311:2.0 315:23.0 316:21.0 318:20.0 320:18.0 322:39.0 323:13.0 324:51.0 332:73.0 335:2.0 344:1.0 347:9.0 350:10.0 354:69.0 358:4.0 363:11.0 364:42.0 370:22.0 371:16.0 373:25.0 375:2.0 376:4.0 377:12.0 380:26.0 386:10.0 387:97.0 389:6.0 394:10.0 399:60.0 404:81.0 407:26.0 410:4.0 411:18.0 412:29.0 414:31.0 428:5.0 431:5.0 433:13.0 435:17.0 438:46.0 442:15.0 443:20.0 450:22.0 453:14.0 454:2.0 455:16.0 459:27.0 460:14.0 461:15.0 463:5.0 469:21.0 473:26.0 481:16.0 482:37.0 488:60.0 490:38.0 496:1.0 498:33.0 500:3.0</t>
  </si>
  <si>
    <t>300153</t>
  </si>
  <si>
    <t>837361</t>
  </si>
  <si>
    <t>85:26175.0 86:1604.0 91:475.0 95:407.0 97:1730.0 98:625.0 99:10744.0 100:891.0 101:47.0 104:121.0 106:10.0 107:108.0 109:450.0 110:688.0 111:2113.0 112:1691.0 113:6620.0 114:565.0 116:92.0 120:6.0 123:212.0 124:248.0 125:1195.0 126:1375.0 127:4232.0 128:526.0 129:325.0 130:44.0 139:286.0 140:145.0 141:2306.0 142:285.0 144:7.0 149:114.0 150:71.0 153:464.0 154:422.0 155:2007.0 156:155.0 158:8.0 163:10.0 165:20.0 166:59.0 167:124.0 168:288.0 169:1312.0 170:114.0 171:20.0 176:57.0 182:36.0 183:602.0 184:25.0 188:45.0 190:5.0 192:1.0 195:26.0 196:84.0 197:522.0 198:69.0 203:43.0 205:48.0 207:127.0 211:236.0 217:160.0 218:5.0 224:30.0 225:147.0 226:14.0 230:36.0 231:18.0 234:8.0 238:22.0 239:218.0 240:8.0 250:29.0 258:83.0 259:6.0 261:48.0 268:38.0 271:18.0 274:35.0 275:41.0 277:1.0 279:2.0 281:266.0 282:43.0 287:11.0 288:19.0 292:19.0 299:3.0 301:6.0 304:10.0 305:2.0 307:18.0 308:33.0 310:38.0 312:48.0 313:43.0 315:1.0 320:22.0 321:14.0 322:18.0 325:39.0 326:20.0 327:11.0 328:30.0 329:15.0 330:97.0 339:5.0 355:111.0 356:1.0 357:50.0 361:8.0 371:22.0 373:5.0 374:7.0 377:35.0 381:17.0 386:11.0 387:31.0 389:3.0 394:1.0 396:17.0 399:64.0 400:1.0 401:21.0 402:18.0 404:26.0 406:4.0 407:34.0 411:62.0 412:46.0 417:63.0 418:1.0 420:33.0 422:31.0 424:59.0 426:14.0 427:19.0 428:31.0 432:18.0 435:18.0 436:42.0 437:65.0 438:2.0 441:19.0 442:22.0 444:11.0 449:6.0 451:11.0 452:18.0 453:65.0 457:2.0 459:34.0 461:60.0 462:26.0 465:27.0 467:37.0 469:28.0 477:27.0 478:16.0 480:29.0 481:31.0 484:26.0 486:19.0 489:29.0 490:69.0 491:47.0 492:12.0 494:33.0 495:34.0 496:28.0 498:30.0</t>
  </si>
  <si>
    <t>300148</t>
  </si>
  <si>
    <t>559473</t>
  </si>
  <si>
    <t>85:26481.0 86:1078.0 89:104.0 93:84.0 96:20.0 97:38.0 98:1651.0 99:7493.0 100:150.0 106:80.0 107:411.0 109:41.0 110:253.0 111:284.0 112:232.0 113:2956.0 114:134.0 125:424.0 126:303.0 127:1480.0 128:43.0 139:89.0 140:381.0 141:1129.0 143:16.0 152:8.0 155:121.0 168:34.0 169:682.0 183:186.0 184:151.0 211:1.0 312:4.0 324:16.0</t>
  </si>
  <si>
    <t>300129</t>
  </si>
  <si>
    <t>371476</t>
  </si>
  <si>
    <t>85:31879.0 86:1888.0 88:206.0 91:22.0 96:1589.0 97:3025.0 98:1303.0 99:6585.0 100:23.0 101:90.0 106:433.0 107:128.0 108:403.0 109:58.0 111:62.0 112:795.0 113:2290.0 114:187.0 115:143.0 116:23.0 118:52.0 126:347.0 127:1207.0 128:52.0 129:89.0 131:287.0 132:57.0 134:1770.0 135:283.0 138:7.0 140:663.0 141:2364.0 142:318.0 143:29.0 144:29.0 146:93.0 148:821.0 154:173.0 155:1436.0 156:148.0 158:5.0 168:18.0 169:162.0 170:9.0 173:87.0 179:3.0 183:87.0 184:479.0 189:91.0 190:16.0 193:5.0 194:3.0 198:94.0 199:228.0 200:45.0 205:2.0 206:4.0 208:6.0 213:129.0 214:31.0 219:29.0 226:85.0 230:18.0 232:2.0 233:12.0 240:8.0 243:3.0 252:2.0 258:18.0 259:13.0 260:16.0 267:74.0 268:9.0 271:1.0 274:5.0 280:2.0 286:1.0 287:2.0 288:60.0 292:7.0 293:2.0 295:35.0 304:2.0 305:3.0 308:2.0 312:13.0 319:5.0 320:16.0 321:22.0 331:7.0 337:6.0 339:9.0 340:3.0 341:7.0 343:4.0 349:5.0 350:9.0 351:26.0 361:3.0 363:7.0 366:1.0 368:12.0 374:3.0 376:1.0 377:5.0 379:3.0 381:1.0 382:67.0 383:1.0 389:5.0 395:1.0 397:4.0 401:18.0 403:2.0 406:3.0 408:1.0 411:4.0 412:1.0 415:1.0 421:6.0 427:19.0 440:14.0 441:5.0 442:8.0 443:3.0 444:1.0 446:1.0 450:3.0 451:38.0 453:3.0 456:2.0 457:3.0 460:24.0 463:4.0 465:15.0 479:32.0 481:2.0 484:2.0 489:1.0 491:19.0 492:1.0 494:4.0 495:3.0 496:1.0 499:17.0</t>
  </si>
  <si>
    <t>300111</t>
  </si>
  <si>
    <t>333004</t>
  </si>
  <si>
    <t>85:33295.0 86:2014.0 87:109.0 88:75.0 89:536.0 90:255.0 91:212.0 93:39.0 94:15.0 95:79.0 96:5113.0 97:1537.0 98:4368.0 99:5569.0 100:620.0 101:126.0 102:513.0 104:3.0 107:361.0 109:20.0 110:139.0 111:405.0 112:1856.0 113:2115.0 114:857.0 115:1.0 116:2561.0 117:4.0 118:222.0 121:5.0 122:16.0 124:35.0 125:19.0 126:987.0 127:2260.0 128:449.0 129:80.0 130:1298.0 131:195.0 134:64.0 135:46.0 136:39.0 137:32.0 138:8.0 139:13.0 140:327.0 141:1677.0 142:293.0 147:64.0 148:99.0 149:10.0 152:22.0 153:74.0 154:60.0 155:345.0 156:15.0 158:38.0 162:50.0 163:8.0 164:72.0 165:1.0 169:72.0 170:59.0 175:3.0 177:5.0 178:1.0 183:7.0 184:556.0 185:64.0 188:1.0 190:5.0 191:16.0 192:3.0 198:166.0 201:35.0 204:192.0 205:3.0 208:8.0 209:4.0 221:21.0 233:1.0 243:73.0 244:8.0 248:30.0 251:8.0 254:2.0 259:26.0 265:35.0 275:11.0 279:3.0 280:17.0 284:10.0 288:31.0 290:3.0 292:2.0 294:10.0 298:15.0 306:9.0 308:26.0 310:19.0 317:24.0 319:7.0 321:27.0 323:9.0 324:13.0 328:13.0 330:1.0 346:26.0 348:1.0 352:15.0 355:30.0 360:17.0 361:9.0 365:35.0 366:18.0 367:10.0 369:18.0 378:2.0 379:6.0 380:3.0 381:1.0 384:17.0 386:13.0 388:48.0 389:6.0 391:31.0 392:33.0 400:35.0 402:3.0 405:17.0 406:8.0 410:23.0 413:33.0 414:8.0 423:9.0 424:14.0 426:31.0 435:6.0 438:9.0 445:15.0 450:12.0 451:42.0 453:10.0 464:15.0 466:12.0 470:10.0 471:13.0 475:18.0 483:45.0 484:3.0 486:14.0 492:6.0 493:1.0 495:12.0</t>
  </si>
  <si>
    <t>300108</t>
  </si>
  <si>
    <t>664281</t>
  </si>
  <si>
    <t>85:50201.0 86:3583.0 87:182.0 94:48.0 95:924.0 96:257.0 97:2613.0 98:1315.0 99:16814.0 100:1271.0 101:397.0 103:857.0 104:12.0 105:317.0 106:175.0 107:3.0 108:64.0 109:286.0 110:961.0 111:4025.0 112:2551.0 113:10781.0 114:947.0 117:913.0 118:134.0 119:123.0 120:50.0 121:91.0 122:39.0 123:42.0 124:184.0 125:1663.0 126:1676.0 127:6722.0 128:304.0 129:426.0 132:262.0 133:33.0 137:10.0 138:132.0 139:423.0 140:262.0 141:3352.0 142:382.0 143:103.0 144:41.0 145:117.0 146:6.0 149:58.0 151:13.0 152:77.0 153:548.0 154:688.0 155:2694.0 157:240.0 158:50.0 159:64.0 160:51.0 161:29.0 163:17.0 165:65.0 166:92.0 167:138.0 168:287.0 169:1428.0 170:225.0 172:14.0 173:23.0 175:36.0 176:56.0 177:10.0 178:34.0 179:7.0 180:54.0 181:83.0 182:24.0 183:620.0 184:180.0 185:44.0 186:4.0 187:2.0 188:92.0 189:189.0 190:39.0 191:25.0 193:22.0 194:13.0 195:53.0 196:129.0 197:691.0 198:163.0 199:25.0 200:81.0 201:61.0 202:12.0 203:41.0 204:152.0 205:553.0 206:135.0 207:89.0 209:45.0 210:147.0 211:299.0 212:57.0 213:5.0 214:25.0 215:9.0 216:74.0 217:529.0 218:129.0 219:41.0 220:91.0 222:42.0 223:9.0 224:72.0 225:110.0 226:137.0 227:10.0 228:35.0 229:111.0 231:89.0 232:6.0 233:72.0 234:36.0 235:67.0 236:26.0 237:41.0 238:108.0 239:131.0 240:62.0 241:8.0 242:51.0 243:42.0 245:63.0 246:73.0 247:28.0 248:22.0 249:53.0 250:96.0 251:97.0 252:66.0 253:114.0 254:5.0 255:12.0 256:27.0 257:68.0 258:29.0 259:64.0 260:109.0 261:45.0 262:79.0 264:68.0 265:66.0 266:122.0 267:43.0 268:49.0 269:71.0 270:13.0 271:37.0 272:41.0 273:62.0 274:31.0 275:63.0 276:39.0 277:51.0 278:72.0 279:7.0 280:90.0 281:81.0 282:52.0 283:54.0 284:76.0 285:47.0 287:82.0 288:62.0 289:109.0 290:17.0 291:62.0 292:28.0 293:33.0 294:62.0 295:51.0 297:47.0 298:105.0 299:87.0 300:48.0 301:40.0 302:22.0 304:48.0 305:40.0 306:62.0 307:173.0 308:82.0 309:61.0 310:51.0 311:24.0 312:63.0 313:18.0 314:26.0 315:43.0 316:36.0 317:49.0 318:37.0 319:438.0 320:191.0 321:131.0 322:44.0 323:65.0 324:18.0 325:13.0 326:54.0 327:36.0 328:22.0 329:65.0 330:47.0 331:103.0 332:44.0 333:69.0 334:53.0 335:41.0 336:53.0 337:108.0 338:93.0 339:60.0 340:41.0 342:48.0 343:66.0 345:69.0 346:16.0 347:32.0 348:86.0 349:13.0 350:49.0 351:33.0 352:76.0 353:43.0 354:15.0 355:55.0 356:42.0 357:83.0 358:76.0 359:60.0 360:15.0 361:60.0 362:83.0 363:35.0 364:57.0 365:42.0 366:37.0 368:47.0 369:6.0 370:50.0 372:31.0 374:14.0 375:43.0 376:59.0 377:44.0 378:5.0 379:15.0 380:25.0 382:49.0 383:51.0 384:5.0 385:87.0 386:25.0 387:60.0 388:20.0 389:84.0 390:31.0 391:36.0 392:66.0 393:53.0 394:41.0 395:31.0 396:38.0 399:40.0 400:94.0 401:64.0 403:30.0 404:42.0 405:85.0 406:52.0 407:100.0 408:53.0 409:22.0 410:54.0 411:6.0 412:14.0 413:48.0 414:64.0 415:106.0 416:59.0 418:31.0 419:1.0 420:29.0 421:104.0 422:75.0 423:54.0 424:21.0 425:44.0 426:22.0 428:90.0 429:27.0 430:64.0 431:71.0 432:5.0 433:42.0 434:47.0 435:57.0 436:35.0 437:74.0 438:68.0 439:34.0 440:14.0 441:60.0 442:20.0 443:71.0 444:9.0 445:80.0 446:34.0 447:69.0 448:66.0 449:27.0 450:10.0 451:35.0 452:68.0 453:52.0 454:75.0 455:44.0 456:55.0 457:15.0 458:41.0 459:42.0 460:76.0 461:89.0 462:26.0 463:129.0 464:64.0 465:31.0 466:40.0 467:31.0 468:30.0 469:5.0 470:51.0 471:67.0 472:31.0 473:4.0 474:40.0 475:82.0 476:67.0 477:52.0 478:27.0 479:51.0 480:74.0 481:55.0 482:46.0 483:36.0 484:90.0 485:95.0 486:12.0 487:30.0 488:82.0 489:19.0 490:83.0 493:12.0 494:86.0 495:60.0 496:60.0 497:37.0 498:59.0 499:30.0 500:58.0</t>
  </si>
  <si>
    <t>310629</t>
  </si>
  <si>
    <t>200</t>
  </si>
  <si>
    <t>85:175.0 86:236.0 89:6303.0 90:491.0 91:173.0 92:17.0 93:3.0 95:42.0 96:4.0 98:729.0 99:4133.0 100:709.0 101:68.0 103:3.0 108:22.0 110:2701.0 111:155.0 112:64.0 113:101.0 114:822.0 115:2454.0 116:492.0 117:184.0 118:60.0 126:196.0 127:16.0 128:10.0 137:3.0 139:2.0 140:181.0 141:23.0 142:17.0 143:73.0 149:31.0 150:117.0 151:26.0 152:67.0 153:5.0 154:204.0 155:8.0 156:31.0 158:238.0 159:5.0 160:126.0 161:6.0 164:2.0 166:14.0 167:6.0 168:15.0 169:245.0 170:70.0 171:18.0 174:192.0 175:17.0 179:10.0 180:4.0 182:42.0 183:56.0 185:9.0 186:9.0 187:2.0 189:1817.0 190:204.0 191:14.0 192:1.0 195:9.0 196:1.0 200:2038.0 201:265.0 202:53.0 204:4.0 205:10.0 207:4.0 208:3.0 209:3.0 211:1.0 212:2.0 214:5.0 216:1689.0 217:155.0 222:12.0 223:7.0 224:5.0 229:1.0 230:6.0 231:1.0 233:2.0 234:3.0 242:1.0 243:26.0 245:4.0 247:2.0 248:5.0 249:7.0 250:4.0 251:13.0 260:7.0 264:5.0 278:9.0 283:4.0 287:1.0 289:2.0 293:4.0 294:6.0 297:1.0 301:2.0 302:1.0 303:1.0 306:1.0 309:1.0 310:1.0 312:3.0 315:3.0 318:2.0 322:1.0 326:2.0 331:3.0 333:2.0 335:2.0 345:3.0 346:5.0 347:1.0 348:1.0 351:2.0 352:1.0 353:3.0 356:1.0 361:2.0 362:3.0 364:6.0 369:8.0 371:2.0 372:9.0 373:3.0 377:1.0 383:3.0 384:1.0 387:4.0 392:1.0 396:4.0 397:3.0 399:6.0 403:2.0 406:1.0 412:4.0 413:3.0 416:2.0 419:1.0 422:1.0 427:2.0 430:2.0 431:4.0 432:1.0 436:6.0 438:1.0 439:8.0 440:9.0 442:1.0 443:2.0 444:1.0 446:1.0 448:1.0 449:3.0 450:3.0 451:4.0 452:5.0 454:2.0 455:1.0 457:4.0 462:2.0 465:4.0 467:2.0 468:3.0 473:2.0 474:3.0 475:2.0 476:3.0 477:1.0 490:8.0 495:1.0 496:6.0 500:1.0</t>
  </si>
  <si>
    <t>2-hydroxyglutaric acid</t>
  </si>
  <si>
    <t>506359</t>
  </si>
  <si>
    <t>85:1029.0 86:15.0 87:26.0 88:38.0 89:66.0 94:4.0 95:73.0 96:3.0 99:36.0 100:66.0 101:209.0 102:15.0 103:13.0 113:11.0 115:200.0 116:267.0 117:71.0 120:3.0 123:1.0 129:4161.0 130:483.0 131:419.0 132:27.0 133:817.0 134:30.0 135:48.0 147:2431.0 148:475.0 149:842.0 150:79.0 151:27.0 156:23.0 157:894.0 158:75.0 159:101.0 162:7.0 163:44.0 166:1.0 167:1.0 169:15.0 170:5.0 189:5.0 194:8.0 195:2.0 203:642.0 204:140.0 205:24.0 207:7.0 208:2.0 209:1.0 211:1.0 212:6.0 218:19.0 220:7.0 221:3.0 225:3.0 226:2.0 227:1.0 228:1.0 230:1.0 231:212.0 232:28.0 233:13.0 234:2.0 235:4.0 240:4.0 243:11.0 244:11.0 247:938.0 248:157.0 249:43.0 250:9.0 254:4.0 255:1.0 257:3.0 259:1.0 263:2.0 281:8.0 284:2.0 285:3.0 287:1.0 290:5.0 298:1.0 313:5.0 315:2.0 321:10.0 322:8.0 324:6.0 327:4.0 330:9.0 331:4.0 333:2.0 338:5.0 342:7.0 343:3.0 346:1.0 347:6.0 348:4.0 349:95.0 350:17.0 351:2.0 359:3.0 360:6.0 361:1.0 365:1.0 369:7.0 372:7.0 380:1.0 381:2.0 387:1.0 389:4.0 392:5.0 394:1.0 397:5.0 402:1.0 403:2.0 407:7.0 409:3.0 410:4.0 411:2.0 418:2.0 419:4.0 420:2.0 423:1.0 424:1.0 426:2.0 427:1.0 436:1.0 438:6.0 440:1.0 443:3.0 445:5.0 450:5.0 451:4.0 452:1.0 454:9.0 455:1.0 458:1.0 466:4.0 467:1.0 468:4.0 469:4.0 471:4.0 472:1.0 474:2.0 480:1.0 481:1.0 482:6.0 484:2.0 486:1.0 488:2.0 489:3.0 493:4.0 497:4.0 498:5.0</t>
  </si>
  <si>
    <t>2-aminoadipic acid</t>
  </si>
  <si>
    <t>572700</t>
  </si>
  <si>
    <t>260</t>
  </si>
  <si>
    <t>85:864.0 86:878.0 87:624.0 88:261.0 89:926.0 90:176.0 91:6.0 94:25.0 96:235.0 97:3.0 98:936.0 99:564.0 100:4884.0 101:1366.0 102:334.0 103:4605.0 104:443.0 105:319.0 106:102.0 108:362.0 109:99.0 110:48.0 111:67.0 112:444.0 113:191.0 114:432.0 115:2603.0 116:1046.0 117:6551.0 118:885.0 119:443.0 120:68.0 121:5.0 123:7.0 126:97.0 127:108.0 128:6631.0 129:7354.0 130:1338.0 131:2214.0 132:783.0 133:2815.0 134:386.0 135:155.0 136:6.0 138:68.0 139:35.0 140:84.0 141:126.0 142:197.0 143:461.0 144:89.0 145:280.0 146:78.0 147:9619.0 148:1741.0 149:1405.0 150:242.0 151:123.0 152:149.0 153:159.0 154:750.0 155:59.0 157:351.0 158:39.0 159:86.0 160:763.0 161:247.0 162:37.0 163:456.0 164:78.0 165:85.0 170:1296.0 171:188.0 172:392.0 174:1750.0 175:397.0 176:116.0 177:6.0 178:18.0 179:4.0 180:30.0 181:8.0 182:62.0 185:27.0 186:44.0 188:270.0 189:1022.0 190:257.0 191:628.0 192:90.0 193:10.0 195:4.0 196:6.0 197:168.0 198:77.0 201:49.0 202:178.0 203:580.0 204:993.0 205:1553.0 206:334.0 207:246.0 208:53.0 212:79.0 213:15.0 214:7.0 216:98.0 217:10868.0 218:3306.0 219:1393.0 220:191.0 221:439.0 222:26.0 223:43.0 227:7.0 228:190.0 230:56.0 231:58.0 232:7.0 233:65.0 237:16.0 238:7.0 239:26.0 240:42.0 241:11.0 242:16.0 243:161.0 244:1901.0 245:480.0 246:236.0 247:47.0 248:45.0 254:5.0 255:9.0 257:69.0 259:37.0 260:7940.0 261:1895.0 262:793.0 263:105.0 264:22.0 265:5.0 268:15.0 276:6.0 277:395.0 278:56.0 279:19.0 280:23.0 281:13.0 286:3.0 287:28.0 288:112.0 289:24.0 290:2.0 291:248.0 292:68.0 293:18.0 302:18.0 305:49.0 306:96.0 307:470.0 308:114.0 309:94.0 313:2.0 317:41.0 318:26.0 319:319.0 320:114.0 321:72.0 322:27.0 324:1.0 325:4.0 332:43.0 333:42.0 334:83.0 335:28.0 336:10.0 337:3.0 341:1.0 343:9.0 344:48.0 353:1.0 356:18.0 359:6.0 361:8.0 362:237.0 363:60.0 364:49.0 367:9.0 368:10.0 377:134.0 378:42.0 379:5.0 387:2.0 388:22.0 389:1.0 392:9.0 393:11.0 395:13.0 398:8.0 400:5.0 402:2.0 403:1.0 417:15.0 418:4.0 426:7.0 432:9.0 447:5.0 450:15.0 451:1.0 462:1.0 464:8.0 467:15.0 469:11.0 470:14.0 472:13.0 475:14.0 479:11.0 482:6.0 488:10.0 490:5.0 493:5.0 500:3.0</t>
  </si>
  <si>
    <t>295269</t>
  </si>
  <si>
    <t>251431</t>
  </si>
  <si>
    <t>107</t>
  </si>
  <si>
    <t>86:1732.0 87:759.0 88:1421.0 89:780.0 90:771.0 91:1383.0 92:218.0 93:1669.0 95:55.0 96:1261.0 98:140.0 100:363.0 101:57.0 103:168.0 104:584.0 105:971.0 106:2130.0 107:20261.0 108:1739.0 109:592.0 110:4316.0 111:255.0 114:155.0 116:535.0 117:402.0 118:2106.0 123:2852.0 124:97.0 125:456.0 126:2728.0 127:12057.0 128:285.0 130:16769.0 131:3029.0 134:17381.0 135:1278.0 136:873.0 142:13.0 143:650.0 146:864.0 147:32887.0 148:4198.0 149:2335.0 150:35.0 151:429.0 152:74.0 153:1.0 158:28.0 160:384.0 165:92.0 166:37.0 168:34.0 174:76.0 175:3.0 178:4.0 179:35.0 184:3612.0 185:473.0 186:25.0 187:7.0 191:2.0 193:378.0 194:135.0 198:7.0 199:652.0 206:11.0 207:2674.0 208:827.0 209:689.0 210:59.0 211:1.0 217:31.0 221:189.0 222:18.0 229:58.0 230:28.0 243:7.0 246:13.0 247:9.0 256:8.0 257:8.0 275:20.0 276:1.0 280:2.0 287:19.0 291:3.0 295:46.0 302:1.0 304:2.0 309:94.0 310:19.0 311:57.0 321:5.0 324:2.0 349:3.0 353:12.0 375:10.0 378:13.0 381:14.0 386:2.0 394:1.0 398:2.0 399:8.0 407:1.0 426:1.0 428:17.0 430:1.0 434:9.0 435:3.0 439:2.0 445:14.0 446:4.0 449:8.0 459:7.0 462:5.0 464:1.0 466:4.0 471:3.0 479:35.0 482:22.0 484:6.0 498:1.0</t>
  </si>
  <si>
    <t>295226</t>
  </si>
  <si>
    <t>230606</t>
  </si>
  <si>
    <t>85:5262.0 86:2455.0 87:418.0 88:1751.0 89:622.0 90:93.0 91:2215.0 92:405.0 93:562.0 94:11.0 95:702.0 96:1041.0 97:3015.0 98:2065.0 99:824.0 100:1021.0 101:123.0 102:686.0 103:1173.0 104:740.0 105:15145.0 106:2283.0 107:14981.0 108:1529.0 109:1502.0 110:4665.0 111:124.0 112:1760.0 113:759.0 114:427.0 115:768.0 116:605.0 117:424.0 118:1796.0 119:737.0 120:338.0 123:422.0 124:140.0 125:1140.0 126:3883.0 127:10579.0 128:427.0 130:13939.0 131:1879.0 132:839.0 134:20706.0 135:965.0 136:348.0 137:9.0 138:89.0 139:66.0 141:8.0 142:326.0 143:928.0 144:3.0 146:789.0 147:28174.0 148:5291.0 149:1980.0 150:125.0 154:20.0 157:1146.0 158:221.0 159:392.0 160:221.0 161:114.0 162:15.0 168:836.0 170:1.0 172:580.0 173:71.0 174:101.0 175:41.0 177:271.0 178:3.0 179:11.0 182:14.0 184:4012.0 185:654.0 186:287.0 190:259.0 191:1448.0 192:250.0 199:301.0 200:1557.0 201:395.0 202:85.0 205:55.0 207:464.0 215:236.0 217:109.0 218:98.0 222:96.0 223:86.0 251:11.0 255:32.0 270:45.0 285:13.0 296:3.0 311:47.0 313:37.0 441:5.0 488:1.0</t>
  </si>
  <si>
    <t>295010</t>
  </si>
  <si>
    <t>292802</t>
  </si>
  <si>
    <t>88</t>
  </si>
  <si>
    <t>86:800.0 87:24.0 88:9489.0 89:295.0 90:388.0 91:84.0 99:296.0 100:456.0 102:343.0 104:8.0 108:121.0 109:37.0 110:88.0 111:168.0 114:51.0 116:292.0 119:4.0 120:169.0 122:7.0 126:70.0 127:51.0 128:27.0 129:40.0 131:539.0 132:122.0 134:1040.0 139:1.0 144:146.0 145:4300.0 146:832.0 147:3064.0 148:126.0 149:20.0 151:9.0 152:10.0 154:2.0 155:8.0 157:120.0 159:3.0 160:331.0 168:11.0 171:1398.0 172:106.0 173:479.0 174:12.0 179:15.0 184:901.0 185:165.0 186:123.0 187:260.0 188:49.0 193:32.0 194:11.0 198:34.0 199:192.0 202:3.0 204:272.0 210:22.0 212:2.0 217:5.0 224:8.0 233:2.0 245:720.0 246:168.0 247:28.0 254:24.0 261:694.0 262:157.0 263:62.0 276:182.0 277:10.0 278:1.0 282:5.0 295:18.0 297:5.0 303:5.0 305:4.0 312:15.0 321:6.0 330:8.0 336:1.0 341:4.0 346:5.0 351:7.0 354:16.0 357:12.0 362:17.0 368:7.0 371:3.0 375:10.0 382:15.0 385:4.0 391:10.0 403:9.0 405:4.0 411:11.0 414:9.0 417:13.0 423:14.0 428:20.0 432:21.0 438:6.0 441:1.0 447:15.0 451:1.0 456:3.0 458:3.0 460:5.0 463:2.0 470:6.0 471:8.0 475:4.0 479:8.0 483:1.0 487:4.0 489:10.0 490:7.0 496:1.0 499:3.0</t>
  </si>
  <si>
    <t>293848</t>
  </si>
  <si>
    <t>895697</t>
  </si>
  <si>
    <t>290</t>
  </si>
  <si>
    <t>87:113.0 89:1065.0 90:3.0 91:82.0 97:1.0 100:40.0 101:388.0 102:10.0 103:2131.0 104:102.0 108:4.0 111:7.0 113:51.0 116:97.0 117:1276.0 126:96.0 129:712.0 133:1684.0 140:3.0 142:53.0 143:37.0 145:2.0 147:2782.0 148:411.0 149:7.0 153:1.0 154:25.0 157:421.0 158:40.0 159:165.0 171:1.0 172:233.0 182:14.0 185:7.0 186:207.0 187:171.0 189:275.0 190:239.0 191:81.0 193:47.0 195:1.0 199:66.0 201:20.0 202:20.0 203:31.0 204:505.0 205:875.0 206:72.0 207:7.0 209:134.0 210:54.0 214:83.0 215:34.0 216:42.0 217:1170.0 218:179.0 219:12.0 220:1.0 223:4.0 227:7.0 228:30.0 229:69.0 230:33.0 231:28.0 234:588.0 235:64.0 236:31.0 244:2.0 246:10.0 247:1.0 249:8.0 255:36.0 258:15.0 265:11.0 273:22.0 280:5.0 281:45.0 285:31.0 289:2.0 290:2373.0 291:784.0 292:276.0 293:39.0 296:8.0 300:44.0 304:24.0 305:26.0 306:1.0 307:143.0 309:8.0 314:11.0 316:22.0 317:62.0 319:772.0 320:213.0 321:101.0 322:8.0 323:11.0 327:74.0 328:78.0 330:3.0 331:32.0 332:1.0 341:10.0 342:8.0 347:1.0 348:7.0 358:38.0 359:5.0 364:29.0 373:37.0 374:1.0 387:41.0 388:10.0 392:253.0 393:126.0 394:33.0 404:55.0 405:1.0 416:43.0 421:2.0 465:1.0 475:1.0 490:2.0</t>
  </si>
  <si>
    <t>293097</t>
  </si>
  <si>
    <t>531071</t>
  </si>
  <si>
    <t>89:206.0 90:7.0 95:197.0 97:185.0 98:19.0 99:118.0 100:100.0 103:119.0 107:667.0 108:440.0 109:1786.0 110:1145.0 111:291.0 112:88.0 114:46.0 117:1840.0 126:40.0 128:113.0 129:436.0 130:477.0 131:169.0 132:20.0 133:475.0 134:721.0 135:56.0 136:367.0 139:400.0 140:93.0 142:1.0 143:151.0 144:108.0 147:13372.0 148:1503.0 149:1356.0 150:45.0 151:78.0 154:682.0 155:508.0 156:188.0 157:1.0 162:14.0 167:24.0 169:263.0 170:51.0 171:42.0 172:54.0 175:2.0 182:46.0 183:1301.0 185:17.0 190:176.0 197:5.0 198:1782.0 199:394.0 200:60.0 204:359.0 205:64.0 211:23.0 216:6.0 217:333.0 218:42.0 226:1054.0 227:345.0 228:41.0 229:36.0 231:147.0 232:35.0 243:215.0 244:39.0 257:418.0 258:53.0 259:11.0 262:509.0 263:96.0 264:24.0 272:234.0 273:23.0 301:1239.0 302:315.0 303:124.0 314:9.0 316:4.0 324:2.0 476:1.0 477:2.0 498:15.0</t>
  </si>
  <si>
    <t>289052</t>
  </si>
  <si>
    <t>515010</t>
  </si>
  <si>
    <t>186</t>
  </si>
  <si>
    <t>87:83.0 88:32.0 89:1241.0 96:413.0 98:1196.0 99:2552.0 100:14571.0 101:1761.0 102:1104.0 105:81.0 106:103.0 108:76.0 110:471.0 115:12330.0 116:1831.0 117:747.0 124:281.0 128:5319.0 131:334.0 134:390.0 141:30.0 142:35112.0 143:5379.0 144:1727.0 145:42.0 146:14.0 147:3850.0 148:1219.0 149:502.0 150:93.0 152:4.0 155:1313.0 158:23.0 159:50.0 161:12.0 170:622.0 171:173.0 172:198.0 185:184.0 186:23524.0 187:3254.0 188:1005.0 201:657.0 206:8.0 209:5.0 214:131.0 215:128.0 216:6379.0 217:1013.0 218:350.0 233:13.0 234:4.0 236:17.0 241:13.0 243:2887.0 244:1058.0 245:552.0 246:99.0 251:7.0 252:7.0 254:32.0 259:28.0 260:89.0 265:1.0 270:7.0 272:37.0 274:4.0 288:2292.0 289:429.0 290:137.0 291:18.0 292:4.0 293:6.0 294:2.0 307:8.0 308:9.0 309:4.0 314:6.0 320:9.0 327:3.0 332:3.0 335:9.0 337:1.0 341:1.0 348:6.0 357:33.0 359:1.0 361:1.0 365:7.0 376:5.0 377:2.0 378:1.0 379:1.0 388:4.0 389:2.0 390:7.0 391:1.0 398:1.0 400:22.0 401:10.0 402:2.0 410:3.0 412:9.0 414:3.0 415:1.0 418:1.0 419:1.0 432:17.0 436:2.0 437:2.0 449:8.0 453:3.0 454:4.0 455:3.0 457:6.0 458:1.0 463:28.0 466:14.0 476:4.0 477:2.0 478:9.0 486:9.0 493:7.0 494:1.0 495:1.0 498:1.0 500:1.0</t>
  </si>
  <si>
    <t>288019</t>
  </si>
  <si>
    <t>911896</t>
  </si>
  <si>
    <t>89:3018.0 90:140.0 91:143.0 92:1.0 97:1387.0 99:67.0 100:244.0 101:2093.0 103:10644.0 104:916.0 105:1430.0 110:30.0 111:258.0 112:51.0 114:359.0 115:899.0 116:1143.0 117:4695.0 118:179.0 119:146.0 123:51.0 124:6.0 127:204.0 128:584.0 129:5180.0 130:35.0 131:639.0 132:238.0 133:2973.0 136:2.0 141:226.0 142:178.0 143:1182.0 144:240.0 145:460.0 147:9384.0 148:767.0 149:1072.0 153:150.0 154:29.0 155:64.0 156:29.0 157:1813.0 158:490.0 159:101.0 160:5112.0 161:1549.0 162:294.0 163:346.0 168:120.0 169:1446.0 170:296.0 171:220.0 172:30.0 173:255.0 174:202.0 175:206.0 176:224.0 177:253.0 178:11.0 181:95.0 185:48.0 186:685.0 187:46.0 188:42.0 189:1021.0 190:116.0 191:819.0 195:23.0 196:57.0 197:6.0 198:21.0 201:206.0 202:1.0 203:292.0 204:7685.0 205:3912.0 206:852.0 208:235.0 210:175.0 211:2.0 212:3.0 214:407.0 215:451.0 216:309.0 217:8515.0 218:1841.0 219:950.0 220:98.0 222:217.0 224:4.0 225:134.0 227:75.0 228:67.0 229:205.0 230:167.0 231:377.0 232:154.0 233:151.0 234:44.0 235:68.0 236:1.0 240:143.0 243:867.0 244:1088.0 245:412.0 246:1021.0 247:191.0 248:15.0 251:8.0 252:19.0 254:60.0 256:123.0 257:23.0 258:108.0 259:11454.0 260:2518.0 261:1056.0 262:216.0 263:95.0 264:2.0 265:36.0 267:281.0 268:48.0 269:189.0 270:105.0 271:120.0 272:85.0 273:29.0 274:148.0 275:75.0 276:111.0 277:74.0 278:77.0 280:29.0 282:321.0 284:5.0 286:28.0 287:61.0 288:45.0 289:9.0 291:161.0 292:46.0 293:24.0 295:135.0 297:40.0 300:389.0 301:70.0 302:73.0 303:58.0 304:17.0 305:225.0 306:92.0 307:486.0 308:138.0 309:157.0 310:9.0 311:42.0 312:77.0 313:127.0 314:41.0 315:2.0 317:32.0 318:8.0 319:941.0 320:360.0 321:116.0 322:13.0 323:2.0 326:7.0 328:49.0 329:28.0 330:15.0 331:68.0 333:145.0 334:7.0 337:28.0 344:120.0 345:8.0 346:27.0 347:12.0 348:79.0 349:2139.0 350:657.0 351:308.0 352:62.0 354:17.0 355:14.0 357:10.0 358:10.0 359:16.0 361:33.0 362:25.0 365:33.0 366:17.0 371:27.0 372:1.0 374:22.0 375:14.0 376:60.0 377:39.0 387:109.0 388:33.0 389:14.0 390:108.0 391:84.0 393:8.0 395:15.0 397:5.0 398:6.0 400:8.0 401:121.0 402:49.0 403:21.0 404:42.0 405:35.0 406:39.0 408:7.0 409:11.0 415:151.0 416:122.0 417:6.0 418:6.0 419:36.0 420:23.0 421:15.0 429:17.0 434:9.0 437:20.0 438:17.0 442:8.0 444:4.0 450:21.0 451:4.0 452:1.0 454:3.0 457:27.0 458:10.0 461:43.0 463:54.0 464:6.0 466:7.0 467:12.0 472:27.0 475:63.0 476:15.0 477:39.0 478:23.0 480:91.0 481:11.0 482:22.0 483:27.0 485:10.0 489:46.0 491:63.0 493:2.0 494:4.0 496:10.0</t>
  </si>
  <si>
    <t>285035</t>
  </si>
  <si>
    <t>631439</t>
  </si>
  <si>
    <t>85:48.0 86:997.0 87:12.0 90:49.0 94:72.0 95:6.0 98:135.0 99:50.0 100:873.0 103:250.0 104:23.0 105:21.0 109:27.0 110:20.0 111:47.0 112:14.0 113:36.0 114:114.0 115:88.0 116:22.0 120:572.0 121:401.0 127:47.0 128:19.0 130:186.0 131:45.0 132:45.0 134:113.0 135:90.0 140:15.0 141:60.0 142:375.0 145:75.0 147:53.0 148:199.0 149:6.0 151:83.0 155:4.0 158:22.0 160:5.0 164:11.0 166:1.0 167:9.0 168:80.0 169:216.0 173:81.0 174:3290.0 175:509.0 176:324.0 177:23.0 178:8.0 183:71.0 184:19.0 185:28.0 186:25.0 188:3.0 190:70.0 191:33.0 192:441.0 193:6.0 201:2.0 204:208.0 205:51.0 206:2.0 207:143.0 208:5.0 213:15.0 214:83.0 215:32.0 217:80.0 222:351.0 223:3.0 224:141.0 230:38.0 233:9.0 234:72.0 235:10.0 243:18.0 244:17.0 245:5.0 246:23.0 248:1.0 249:2.0 255:15.0 256:8.0 259:89.0 260:974.0 261:87.0 262:66.0 266:473.0 270:61.0 271:64.0 275:10.0 281:409.0 282:78.0 285:23.0 288:8.0 296:15.0 302:1.0 304:3.0 306:30.0 308:11.0 309:6.0 317:3.0 318:404.0 319:180.0 320:26.0 321:4.0 324:7.0 332:2.0 343:100.0 344:28.0 345:6.0 346:4.0 360:7.0 361:54.0 365:6.0 367:3.0 368:1.0 374:10.0 375:42.0 376:7.0 378:4.0 381:12.0 390:1.0 393:4.0 409:2.0 417:5.0 432:16.0 434:1.0 450:25.0 476:1.0 481:12.0 483:7.0 486:17.0 489:6.0 490:3.0 491:7.0 496:7.0 499:3.0 500:4.0</t>
  </si>
  <si>
    <t>284388</t>
  </si>
  <si>
    <t>800708</t>
  </si>
  <si>
    <t>86:27.0 89:3023.0 90:246.0 91:26.0 93:25.0 94:88.0 95:291.0 97:65.0 98:101.0 99:176.0 100:314.0 101:585.0 102:68.0 103:6919.0 104:446.0 105:678.0 106:58.0 107:299.0 109:17.0 111:546.0 112:124.0 113:100.0 114:377.0 115:155.0 116:199.0 117:1436.0 118:239.0 119:265.0 121:218.0 123:161.0 124:512.0 125:320.0 126:122.0 128:224.0 129:1945.0 131:1074.0 133:3108.0 134:261.0 135:1006.0 137:313.0 139:166.0 140:62.0 141:31.0 142:2125.0 143:525.0 144:258.0 147:5620.0 148:97.0 149:363.0 150:107.0 151:171.0 152:3096.0 153:2125.0 154:264.0 155:89.0 156:113.0 157:135.0 158:196.0 159:22.0 160:42.0 161:79.0 163:2037.0 164:278.0 165:107.0 167:48.0 168:128.0 170:73.0 172:174.0 173:2752.0 174:438.0 175:186.0 176:69.0 177:73.0 178:35.0 179:19.0 180:68.0 181:388.0 182:35.0 183:131.0 184:231.0 185:17.0 188:56.0 189:319.0 190:107.0 191:298.0 193:216.0 194:133.0 195:401.0 196:247.0 197:107.0 198:1.0 200:46.0 201:34.0 202:20.0 204:266.0 205:369.0 206:79.0 207:757.0 208:144.0 209:107.0 210:227.0 211:2420.0 212:351.0 213:182.0 214:275.0 215:100.0 216:34.0 217:2016.0 218:306.0 219:193.0 223:22.0 225:657.0 226:86.0 227:475.0 228:137.0 229:113.0 230:25.0 231:15.0 233:27.0 236:261.0 237:41.0 240:51.0 241:252.0 242:82.0 243:439.0 244:1171.0 245:366.0 246:104.0 247:5.0 249:23.0 251:68.0 253:1175.0 254:223.0 255:71.0 256:47.0 258:36.0 260:30.0 263:2.0 266:194.0 267:23.0 268:58.0 270:64.0 271:3.0 272:12.0 274:5.0 277:94.0 279:3.0 280:11.0 281:461.0 283:144.0 285:135.0 286:219.0 287:86.0 288:34.0 290:5.0 291:15.0 294:38.0 298:153.0 299:3567.0 300:902.0 301:457.0 302:96.0 303:21.0 304:11.0 305:30.0 306:121.0 307:175.0 308:38.0 309:58.0 313:12.0 314:192.0 315:1947.0 316:518.0 317:213.0 318:73.0 319:6.0 326:72.0 327:11.0 330:3.0 332:4.0 340:53.0 341:87.0 354:262.0 355:106.0 356:2.0 358:11.0 373:38.0 374:45.0 375:7.0 376:28.0 377:16.0 379:64.0 381:1.0 386:245.0 387:3341.0 388:1313.0 389:709.0 390:201.0 393:19.0 394:15.0 398:1.0 403:3.0 405:2.0 407:114.0 408:41.0 409:48.0 414:70.0 415:79.0 416:36.0 427:4.0 429:69.0 447:11.0 459:2.0 460:20.0 461:4.0 475:4.0 484:54.0 485:51.0</t>
  </si>
  <si>
    <t>282690</t>
  </si>
  <si>
    <t>245884</t>
  </si>
  <si>
    <t>85:9470.0 86:733.0 87:1251.0 88:4791.0 89:2099.0 90:294.0 92:100.0 95:101.0 97:176.0 98:546.0 99:697.0 100:1208.0 101:289.0 102:16.0 103:1008.0 105:1648.0 107:264.0 108:169.0 110:3367.0 111:222.0 112:576.0 113:404.0 114:9.0 115:409.0 117:160.0 119:180.0 123:74.0 124:85.0 125:130.0 126:85.0 127:1869.0 128:237.0 130:1137.0 131:1965.0 132:630.0 133:2253.0 134:1750.0 136:43.0 138:229.0 140:21.0 141:33.0 145:40.0 146:496.0 147:30753.0 148:4571.0 149:2625.0 150:172.0 151:973.0 152:54.0 153:9.0 154:3280.0 155:6794.0 156:757.0 157:266.0 158:24.0 160:91.0 161:35.0 162:54.0 165:70.0 166:109.0 167:4.0 170:29.0 174:21.0 181:23.0 182:13.0 183:27.0 184:48.0 185:6.0 186:17.0 189:231.0 190:105.0 191:531.0 193:279.0 195:49.0 199:42.0 200:20.0 204:5180.0 205:1443.0 206:453.0 207:313.0 209:288.0 211:11.0 212:43.0 219:177.0 220:10.0 221:921.0 222:195.0 223:71.0 225:2689.0 226:527.0 227:231.0 228:5.0 232:1.0 236:11.0 240:2449.0 241:347.0 242:161.0 243:4.0 253:8.0 278:1035.0 279:284.0 280:139.0 281:4.0 325:16.0 331:2.0 332:747.0 333:161.0 334:109.0 415:1.0 497:7.0</t>
  </si>
  <si>
    <t>281951</t>
  </si>
  <si>
    <t>246515</t>
  </si>
  <si>
    <t>187</t>
  </si>
  <si>
    <t>85:187.0 86:478.0 87:1192.0 88:2814.0 89:6639.0 90:485.0 91:2127.0 92:361.0 93:161.0 96:148.0 97:29.0 98:1061.0 99:751.0 100:846.0 101:1669.0 102:337.0 103:56040.0 104:5483.0 105:5845.0 106:696.0 108:80.0 109:306.0 110:1382.0 111:3273.0 112:2935.0 113:363.0 114:51.0 115:805.0 116:14.0 117:2564.0 118:40.0 120:50.0 126:153.0 127:257.0 128:5.0 129:852.0 130:2762.0 131:568.0 132:606.0 133:419.0 134:3278.0 135:964.0 136:80.0 138:90.0 139:81.0 141:9.0 143:602.0 145:250.0 146:205.0 147:2363.0 148:1036.0 149:491.0 150:101.0 151:105.0 157:457.0 158:41.0 160:26.0 171:73.0 174:19.0 177:19.0 178:3.0 187:24665.0 188:3610.0 189:1193.0 191:22.0 193:25.0 199:391.0 202:102.0 205:159.0 209:20.0 212:17.0 218:10.0 221:244.0 222:49.0 247:9.0 263:57.0 284:14.0 339:7.0 354:10.0 406:18.0 420:2.0 463:1.0 492:9.0</t>
  </si>
  <si>
    <t>281926</t>
  </si>
  <si>
    <t>266383</t>
  </si>
  <si>
    <t>85:1588.0 86:2334.0 88:301.0 90:1095.0 91:399.0 97:304.0 98:622.0 100:2674.0 102:3117.0 103:840.0 104:789.0 105:400.0 106:249.0 107:3384.0 108:332.0 110:2671.0 114:674.0 116:12562.0 117:2202.0 118:1690.0 119:582.0 120:1994.0 121:150.0 123:81.0 126:639.0 127:2662.0 130:1106.0 131:1667.0 132:856.0 133:5502.0 134:9898.0 135:1967.0 136:422.0 140:1375.0 141:53.0 143:462.0 144:103.0 146:548.0 147:11229.0 148:2480.0 149:1794.0 150:192.0 160:859.0 161:183.0 162:267.0 163:66.0 167:52.0 169:110.0 174:105.0 175:15.0 176:6.0 184:6457.0 185:705.0 186:665.0 189:470.0 190:536.0 191:329.0 192:42.0 198:56.0 199:166.0 200:152.0 205:417.0 206:56.0 207:496.0 208:107.0 220:1134.0 221:345.0 222:369.0 227:3048.0 228:353.0 229:78.0 236:47.0 237:178.0 242:435.0 243:19.0 246:8.0 248:11.0 249:7.0 251:3.0 252:3.0 262:5.0 267:843.0 268:103.0 269:29.0 285:49.0 310:11.0 322:3.0 332:7.0 355:258.0 356:88.0 357:18.0 358:25.0 363:19.0 406:6.0 414:2.0 417:4.0 443:3.0 495:8.0</t>
  </si>
  <si>
    <t>249</t>
  </si>
  <si>
    <t>280553</t>
  </si>
  <si>
    <t>556356</t>
  </si>
  <si>
    <t>98:33.0 100:8754.0 101:519.0 102:288.0 107:222.0 110:466.0 116:13.0 124:9.0 128:162.0 138:645.0 141:312.0 142:216.0 154:862.0 156:417.0 170:4.0 172:438.0 173:52.0 174:249.0 175:137.0 184:162.0 190:1011.0 192:20.0 196:26.0 199:22.0 202:176.0 210:30.0 214:46.0 216:96.0 228:176.0 229:25.0 231:82.0 242:13.0 244:1886.0 245:2447.0 246:513.0 247:194.0 258:217.0 272:8.0 273:42.0 285:5.0 318:56.0 327:45.0 328:137.0 329:22.0 346:570.0 347:131.0 348:49.0 349:3.0 360:109.0 361:150.0 415:13.0 495:10.0</t>
  </si>
  <si>
    <t>278207</t>
  </si>
  <si>
    <t>280950</t>
  </si>
  <si>
    <t>85:941.0 86:40904.0 87:3752.0 89:909.0 90:666.0 91:10061.0 92:882.0 93:150.0 95:270.0 96:351.0 97:249.0 98:31.0 99:364.0 100:729.0 101:77.0 102:933.0 103:2675.0 104:869.0 105:1765.0 106:253.0 107:2078.0 108:339.0 109:910.0 110:861.0 113:50.0 115:234.0 116:213.0 117:406.0 118:726.0 120:131.0 121:99.0 123:97.0 124:5.0 125:38.0 126:334.0 127:206.0 128:304.0 129:1670.0 130:381.0 131:1861.0 132:372.0 133:2749.0 134:2102.0 135:2644.0 137:177.0 139:140.0 141:10.0 142:184.0 144:495.0 145:25279.0 146:5084.0 147:11000.0 148:2886.0 149:3706.0 150:632.0 151:336.0 152:206.0 155:66.0 157:142.0 159:66.0 160:96.0 161:80.0 162:18.0 163:477.0 164:74.0 165:18527.0 166:2556.0 167:697.0 169:41.0 170:945.0 171:876.0 172:112.0 173:42.0 174:81.0 175:63.0 176:63.0 179:67.0 180:6190.0 181:1088.0 182:277.0 183:37.0 184:36.0 185:90.0 187:17.0 188:1119.0 190:614.0 195:130.0 196:2.0 197:2.0 198:2.0 199:205.0 201:42.0 202:21.0 203:265.0 210:4.0 211:2.0 212:1.0 213:9.0 214:2.0 215:5.0 216:9.0 219:2285.0 220:494.0 221:61.0 223:40.0 225:29.0 232:4.0 237:2.0 247:582.0 248:95.0 249:27.0 263:13.0 267:62.0 299:114.0 315:10.0 333:6.0 356:1.0 367:50.0 368:2.0 402:1.0 415:4.0 444:5.0 468:13.0</t>
  </si>
  <si>
    <t>277432</t>
  </si>
  <si>
    <t>567325</t>
  </si>
  <si>
    <t>86:192.0 94:25.0 99:313.0 100:287.0 107:682.0 110:1180.0 113:575.0 114:543.0 116:140.0 117:244.0 118:172.0 129:474.0 130:251.0 131:316.0 134:456.0 136:31.0 138:357.0 139:90.0 141:159.0 142:42.0 143:21.0 151:358.0 152:139.0 153:43.0 155:382.0 166:325.0 167:287.0 168:3.0 169:38.0 170:2.0 171:400.0 172:21.0 175:1077.0 179:24.0 180:112.0 184:108.0 185:207.0 187:158.0 192:220.0 193:119.0 196:41.0 197:45.0 198:5.0 211:56.0 212:75.0 213:46.0 223:106.0 224:39.0 225:221.0 226:46.0 258:103.0 260:137.0 273:2.0 285:1707.0 286:476.0 287:101.0 288:36.0 292:39.0 297:77.0 298:9.0 299:45.0 303:12.0 310:17.0 314:5.0 327:16.0 329:19.0 342:3.0 367:122.0 368:4.0 378:10.0 382:342.0 383:41.0 384:3.0 406:4.0 454:10.0</t>
  </si>
  <si>
    <t>276368</t>
  </si>
  <si>
    <t>620021</t>
  </si>
  <si>
    <t>85:1085.0 86:5480.0 87:815.0 88:263.0 89:1229.0 90:192.0 91:204.0 92:91.0 93:574.0 94:781.0 95:907.0 96:972.0 97:19082.0 98:1807.0 99:1352.0 100:20441.0 101:2357.0 102:1948.0 103:583.0 104:130.0 105:142.0 106:41.0 107:118.0 108:123.0 109:163.0 110:1384.0 111:894.0 112:1051.0 113:486.0 114:928.0 115:761.0 116:565.0 117:645.0 118:83.0 119:165.0 120:40.0 121:101.0 122:64.0 123:132.0 124:595.0 125:831.0 126:927.0 127:1853.0 128:1193.0 129:324.0 130:1471.0 131:1738.0 132:1164.0 133:1593.0 134:256.0 135:296.0 136:117.0 137:87.0 138:115.0 139:257.0 140:354.0 141:171.0 142:11398.0 143:1809.0 144:730.0 145:119.0 146:659.0 147:7584.0 148:1168.0 149:725.0 150:51.0 151:55.0 152:219.0 153:79.0 154:698.0 155:140.0 156:210.0 157:208.0 158:556.0 159:204.0 160:581.0 161:80.0 162:50.0 166:80.0 167:106.0 168:808.0 169:265.0 170:2818.0 171:550.0 172:651.0 173:412.0 174:6314.0 175:1071.0 176:531.0 177:57.0 178:19.0 180:43.0 181:61.0 182:240.0 183:109.0 184:554.0 185:145.0 186:168.0 187:98.0 188:178.0 189:158.0 190:38.0 191:53.0 193:13.0 195:592.0 196:475.0 197:757.0 198:262.0 199:63.0 200:647.0 201:194.0 202:79.0 203:38.0 204:161.0 209:47.0 210:86.0 211:277.0 212:671.0 214:377.0 215:557.0 216:395.0 217:194.0 218:208.0 219:36.0 220:50.0 224:28.0 225:101.0 226:145.0 227:65.0 229:2.0 230:7.0 231:54.0 232:14.0 237:24.0 239:83.0 240:12.0 241:161.0 242:162.0 243:20.0 244:24.0 245:5.0 252:5.0 253:92.0 254:10.0 255:200.0 257:49.0 258:146.0 259:131.0 260:43.0 267:127.0 268:88.0 269:3722.0 270:968.0 271:1192.0 272:309.0 273:20.0 281:36.0 282:40.0 283:732.0 284:516.0 285:18968.0 286:4693.0 287:2028.0 288:316.0 289:68.0 292:15.0 293:9.0 297:31.0 298:34.0 299:2581.0 300:6237.0 301:1813.0 302:615.0 303:81.0 304:31.0 306:6.0 308:6.0 321:35.0 327:326.0 328:197.0 329:62.0 330:34.0 331:27.0 332:2.0 334:6.0 336:9.0 339:7.0 340:19.0 341:874.0 342:333.0 343:86.0 344:3.0 354:149.0 355:3636.0 356:1220.0 357:388.0 358:86.0 370:35.0 420:66.0 421:6.0</t>
  </si>
  <si>
    <t>275292</t>
  </si>
  <si>
    <t>777670</t>
  </si>
  <si>
    <t>85:39.0 86:6.0 87:22.0 90:12.0 91:204.0 92:55.0 93:86.0 94:87.0 95:373.0 96:122.0 97:32.0 98:62.0 99:100.0 100:61.0 101:19.0 102:49.0 103:30.0 105:106.0 107:56.0 109:9.0 113:6.0 114:11.0 115:25.0 116:20.0 117:610.0 119:35.0 121:24.0 122:67.0 125:22.0 128:12.0 129:301.0 130:286.0 131:197.0 132:129.0 135:41.0 137:11.0 140:3.0 142:11.0 144:17.0 145:187.0 146:30.0 149:36.0 155:46.0 156:1.0 157:19.0 158:2.0 169:20.0 170:39.0 172:29.0 174:3.0 182:10.0 183:23.0 184:21.0 185:3.0 186:23.0 187:7.0 188:8.0 197:12.0 200:42.0 201:14.0 202:2479.0 203:338.0 204:115.0 206:3.0 214:14.0 215:13.0 219:6.0 222:2.0 224:7.0 227:8.0 229:5.0 231:24.0 234:1.0 235:19.0 240:2.0 278:21.0 331:4.0 336:7.0 361:10.0 375:1.0 377:18.0 381:4.0 395:13.0 406:4.0 445:15.0</t>
  </si>
  <si>
    <t>273985</t>
  </si>
  <si>
    <t>1212987</t>
  </si>
  <si>
    <t>309</t>
  </si>
  <si>
    <t>92:30.0 93:146.0 94:111.0 95:155.0 96:116.0 98:144.0 99:6.0 101:75.0 110:5.0 111:18.0 119:245.0 121:75.0 123:116.0 124:18.0 125:24.0 128:24.0 129:406.0 136:46.0 137:13.0 138:4.0 143:102.0 144:21.0 145:291.0 153:5.0 155:61.0 157:10.0 158:43.0 159:10.0 160:15.0 161:146.0 162:84.0 163:120.0 164:58.0 165:254.0 167:6.0 169:83.0 170:1.0 171:141.0 172:70.0 173:49.0 176:39.0 177:208.0 178:16.0 179:194.0 180:5.0 181:49.0 182:64.0 183:47.0 184:16.0 186:29.0 187:22.0 189:99.0 191:166.0 192:228.0 193:181.0 194:123.0 195:415.0 196:162.0 197:66.0 198:17.0 199:51.0 200:49.0 203:23.0 205:55.0 206:108.0 208:153.0 209:333.0 210:52.0 212:29.0 214:2.0 215:85.0 220:77.0 222:232.0 223:163.0 224:93.0 225:37.0 226:11.0 228:9.0 230:8.0 231:70.0 232:60.0 233:83.0 235:122.0 236:93.0 237:95.0 238:47.0 239:143.0 240:11.0 241:47.0 242:48.0 243:58.0 244:11.0 245:19.0 246:26.0 247:70.0 248:24.0 249:119.0 251:93.0 253:267.0 254:134.0 255:54.0 256:1.0 257:61.0 258:34.0 260:52.0 261:78.0 262:61.0 263:41.0 264:24.0 265:149.0 266:64.0 267:158.0 268:48.0 269:298.0 270:45.0 272:3.0 274:40.0 275:51.0 276:8.0 277:48.0 278:16.0 279:17.0 280:19.0 281:484.0 282:259.0 283:6.0 284:32.0 285:4.0 286:71.0 289:10.0 290:18.0 291:21.0 292:20.0 294:11.0 295:75.0 296:87.0 297:119.0 298:87.0 299:12.0 300:46.0 301:18.0 302:38.0 304:3.0 305:6.0 306:16.0 307:74.0 308:13.0 309:1552.0 310:488.0 311:286.0 312:17.0 313:173.0 314:17.0 315:95.0 317:12.0 318:12.0 319:13.0 320:69.0 321:22.0 322:35.0 323:48.0 324:24.0 325:156.0 326:168.0 327:161.0 328:68.0 329:162.0 330:8.0 331:49.0 332:32.0 333:6.0 334:32.0 335:54.0 336:86.0 337:55.0 338:33.0 339:55.0 340:68.0 341:77.0 342:165.0 343:136.0 344:6.0 345:24.0 346:48.0 347:24.0 351:27.0 352:12.0 353:97.0 354:110.0 355:557.0 356:126.0 357:159.0 358:147.0 359:73.0 361:13.0 362:9.0 367:64.0 368:116.0 369:55.0 370:36.0 371:99.0 372:79.0 373:69.0 374:41.0 375:21.0 376:19.0 377:63.0 378:6.0 379:30.0 380:13.0 381:8.0 382:3.0 383:61.0 385:148.0 386:70.0 387:6.0 388:41.0 389:29.0 390:23.0 391:93.0 393:18.0 394:15.0 395:69.0 396:2.0 397:24.0 398:17.0 399:80.0 401:272.0 402:91.0 403:131.0 404:101.0 405:20.0 406:22.0 407:43.0 408:35.0 409:27.0 410:36.0 411:1.0 412:12.0 413:19.0 414:105.0 415:102.0 416:215.0 417:54.0 418:95.0 419:22.0 420:13.0 421:45.0 423:48.0 424:16.0 425:45.0 426:38.0 427:26.0 428:35.0 429:292.0 430:104.0 431:98.0 432:64.0 433:68.0 435:19.0 436:8.0 437:11.0 438:26.0 439:17.0 440:29.0 441:20.0 442:24.0 443:73.0 444:23.0 445:49.0 446:39.0 447:45.0 448:39.0 449:45.0 450:27.0 452:3.0 453:30.0 454:3.0 455:35.0 456:64.0 458:6.0 459:5.0 460:30.0 461:37.0 462:55.0 463:73.0 464:46.0 465:17.0 466:24.0 468:10.0 469:40.0 470:54.0 471:10.0 472:16.0 473:71.0 474:54.0 475:92.0 476:148.0 477:89.0 478:38.0 480:18.0 481:3.0 482:8.0 483:48.0 484:1.0 486:30.0 487:36.0 488:75.0 489:288.0 490:38.0 491:89.0 492:97.0 493:51.0 494:30.0 495:30.0 497:17.0 498:9.0 500:38.0</t>
  </si>
  <si>
    <t>283</t>
  </si>
  <si>
    <t>272849</t>
  </si>
  <si>
    <t>221925</t>
  </si>
  <si>
    <t>85:3283.0 86:1365.0 87:220.0 88:1088.0 89:629.0 90:466.0 91:1009.0 92:148.0 93:1.0 95:1.0 96:429.0 97:1464.0 98:2036.0 99:2310.0 100:6474.0 101:2615.0 102:365.0 104:163.0 105:4955.0 106:655.0 107:9796.0 108:11386.0 109:1103.0 110:62560.0 111:2201.0 112:532.0 113:1462.0 114:667.0 115:34968.0 116:4176.0 118:2274.0 120:40.0 121:43.0 123:51.0 125:40.0 126:1323.0 127:5276.0 128:969.0 129:4836.0 130:16035.0 131:101443.0 132:12199.0 133:1990.0 134:47156.0 135:2853.0 136:1659.0 138:34.0 140:8.0 141:13.0 143:1809.0 144:264.0 145:24789.0 146:3806.0 150:377.0 154:18.0 158:114.0 162:2104.0 163:147.0 166:241.0 167:155.0 168:7814.0 169:511.0 170:30.0 171:86.0 172:432.0 173:105.0 180:24.0 182:10.0 183:57.0 184:36813.0 185:4165.0 186:1404.0 187:651.0 188:137.0 189:2.0 190:1865.0 199:190.0 200:23334.0 201:2557.0 202:782.0 203:1683.0 204:286.0 205:95.0 212:1192.0 213:111.0 214:33.0 216:10.0 218:860.0 223:1.0 226:3.0 242:2631.0 243:277.0 244:87.0 255:37.0 259:10.0 263:1.0 268:12.0 278:12.0 289:40.0 321:7.0 325:8.0 333:9.0 335:13.0 371:2.0 426:4.0 466:21.0 495:5.0 497:3.0</t>
  </si>
  <si>
    <t>271416</t>
  </si>
  <si>
    <t>593932</t>
  </si>
  <si>
    <t>86:87.0 89:378.0 90:155.0 91:328.0 98:4.0 99:213.0 106:147.0 112:75.0 115:785.0 125:65.0 126:323.0 127:499.0 128:818.0 129:346.0 139:250.0 140:23.0 141:1495.0 142:31.0 150:60.0 151:384.0 152:1218.0 153:2268.0 154:836.0 155:4489.0 156:508.0 163:2.0 165:1058.0 166:204.0 167:298.0 168:93.0 169:597.0 170:132.0 178:1.0 179:120.0 181:199.0 182:50.0 189:10.0 197:5220.0 198:849.0 212:2109.0 213:300.0 214:14.0 238:25.0 241:25.0 248:31.0 250:5.0 267:62.0 276:5.0 288:7.0 289:6.0 308:1.0 309:8.0 327:6.0 333:5.0 341:72.0 345:16.0 348:11.0 355:11.0 360:6.0 365:1.0 396:1.0 399:21.0 411:4.0 421:11.0 425:12.0 429:40.0 434:19.0 449:21.0 456:19.0 458:13.0 468:48.0 470:36.0 471:5.0 472:9.0 474:1.0 479:24.0 480:4.0 492:7.0</t>
  </si>
  <si>
    <t>270999</t>
  </si>
  <si>
    <t>412676</t>
  </si>
  <si>
    <t>85:188.0 87:113.0 90:34.0 94:13.0 96:233.0 101:298.0 103:4273.0 104:548.0 105:154.0 108:196.0 109:131.0 110:560.0 113:190.0 119:36.0 127:207.0 128:50.0 129:2257.0 131:247.0 133:2337.0 134:542.0 138:6.0 140:45.0 141:508.0 143:672.0 144:389.0 145:69.0 147:5760.0 148:513.0 149:1551.0 155:1403.0 156:138.0 157:4194.0 158:461.0 160:13.0 169:237.0 170:1173.0 171:613.0 173:25.0 177:344.0 182:33.0 185:51.0 191:11738.0 192:1835.0 193:679.0 194:94.0 196:111.0 199:254.0 211:33.0 217:183.0 218:18.0 231:4.0 233:13.0 245:141.0 246:37.0 250:51.0 265:6.0 267:15.0 285:2.0 373:255.0 374:76.0</t>
  </si>
  <si>
    <t>270929</t>
  </si>
  <si>
    <t>672861</t>
  </si>
  <si>
    <t>86:798.0 87:1166.0 88:244.0 91:248.0 98:319.0 99:188.0 100:1394.0 101:231.0 106:3.0 107:35.0 111:6535.0 112:1227.0 113:104.0 117:450.0 118:442.0 128:133.0 129:2331.0 130:566.0 134:1610.0 136:131.0 141:1500.0 142:260.0 143:383.0 145:250.0 146:133.0 147:744.0 157:204.0 159:439.0 172:241.0 173:103.0 185:1160.0 186:160.0 187:209.0 188:12.0 189:43.0 199:194.0 200:3.0 201:1354.0 202:176.0 203:417.0 205:136.0 208:70.0 212:35.0 217:46.0 219:43.0 243:26.0 258:4.0 267:9.0 314:12.0 475:14.0</t>
  </si>
  <si>
    <t>270547</t>
  </si>
  <si>
    <t>1198470</t>
  </si>
  <si>
    <t>87:4.0 91:4694.0 92:267.0 93:337.0 95:90.0 102:58.0 104:280.0 105:2480.0 107:1223.0 115:1274.0 116:613.0 117:1772.0 118:93.0 119:1597.0 120:107.0 121:607.0 123:330.0 128:675.0 129:257.0 131:1434.0 132:548.0 133:415.0 134:70.0 135:215.0 137:87.0 141:156.0 142:205.0 143:396.0 144:116.0 145:454.0 146:32.0 147:2701.0 148:443.0 149:837.0 150:136.0 151:32.0 153:70.0 157:33.0 158:95.0 159:816.0 160:59.0 161:485.0 163:941.0 164:61.0 165:355.0 169:51.0 172:5.0 173:164.0 174:7.0 175:1037.0 176:125.0 177:90.0 179:383.0 181:80.0 182:2.0 183:83.0 184:44.0 187:18.0 188:210.0 189:699.0 190:19.0 191:3325.0 192:815.0 193:447.0 194:110.0 195:454.0 196:91.0 197:399.0 201:6.0 202:87.0 203:154.0 204:174.0 205:778.0 206:746.0 207:246.0 208:588.0 209:183.0 210:33.0 211:1119.0 212:109.0 213:189.0 214:4.0 215:49.0 217:15.0 218:131.0 219:330.0 220:3226.0 221:913.0 222:316.0 223:54.0 224:18.0 225:61.0 227:146.0 229:115.0 230:96.0 231:59.0 233:10.0 234:20.0 235:469.0 236:81.0 237:291.0 238:82.0 239:50.0 241:80.0 242:19.0 243:24.0 244:23.0 245:202.0 249:183.0 250:23.0 251:561.0 252:50.0 253:583.0 255:77.0 257:16.0 259:41.0 262:17.0 264:11.0 265:226.0 266:77.0 267:409.0 268:84.0 269:502.0 270:15.0 271:39.0 273:118.0 276:24.0 280:80.0 281:507.0 282:77.0 283:223.0 284:3.0 286:1.0 287:63.0 288:17.0 289:201.0 295:22.0 296:33.0 297:37.0 299:47.0 300:34.0 301:66.0 302:2.0 303:57.0 305:471.0 306:115.0 307:73.0 308:123.0 309:73.0 311:55.0 312:25.0 313:12.0 315:25.0 317:53.0 318:11.0 319:32.0 321:1104.0 322:193.0 323:114.0 324:786.0 325:510.0 326:109.0 327:56.0 328:121.0 329:232.0 330:29.0 331:17.0 332:26.0 337:14.0 339:50.0 340:33.0 341:226.0 342:152.0 343:135.0 344:43.0 345:129.0 346:31.0 347:60.0 353:26.0 355:132.0 357:31.0 358:52.0 359:52.0 360:11.0 361:430.0 362:49.0 363:39.0 367:53.0 368:32.0 369:82.0 371:20.0 372:7.0 373:53.0 375:2.0 376:11.0 377:380.0 378:79.0 379:78.0 381:18.0 382:20.0 383:140.0 384:29.0 385:169.0 386:19.0 387:16.0 389:61.0 390:21.0 394:8.0 395:33.0 397:25.0 398:1.0 399:57.0 400:29.0 401:216.0 402:65.0 403:44.0 404:4.0 406:11.0 414:47.0 415:115.0 416:170.0 417:304.0 418:80.0 419:85.0 420:27.0 422:34.0 423:63.0 424:11.0 425:70.0 426:29.0 427:15.0 428:7.0 429:204.0 430:76.0 431:67.0 433:77.0 434:13.0 437:20.0 439:130.0 440:128.0 441:1079.0 442:540.0 443:124.0 444:20.0 445:19.0 447:10.0 451:4.0 453:41.0 455:3.0 457:38.0 459:45.0 460:31.0 462:10.0 463:36.0 465:28.0 468:6.0 473:46.0 474:40.0 475:115.0 476:91.0 477:10.0 478:39.0 481:15.0 488:30.0 489:224.0 490:1.0 491:8.0 492:12.0 495:60.0 496:71.0 497:18.0 499:7.0 500:13.0</t>
  </si>
  <si>
    <t>270409</t>
  </si>
  <si>
    <t>259999</t>
  </si>
  <si>
    <t>86:1472.0 88:2618.0 90:360.0 91:1737.0 92:6067.0 96:192.0 97:826.0 100:520.0 101:694.0 102:1682.0 103:125.0 104:218.0 105:196.0 107:200.0 110:264.0 111:221.0 113:93.0 114:66.0 117:190.0 118:517.0 125:22.0 126:406.0 129:722.0 130:709.0 132:197.0 133:61.0 134:201.0 135:81.0 137:81.0 138:521.0 139:80.0 140:20.0 143:191.0 144:103.0 145:43.0 147:4029.0 148:610.0 149:456.0 160:1206.0 161:127.0 165:106.0 168:50.0 170:4.0 175:141.0 176:174.0 180:29.0 182:15.0 183:169.0 184:9587.0 185:760.0 186:428.0 187:36.0 190:177.0 192:46.0 199:73.0 200:373.0 201:181.0 202:91.0 206:12.0 211:3.0 217:4335.0 218:1066.0 219:411.0 220:79.0 233:8.0 239:15.0 265:21.0 274:18.0 281:3.0 305:15.0 323:19.0 330:6.0 341:39.0 359:16.0 363:1.0 365:14.0 373:7.0 390:9.0 407:9.0 413:3.0 419:24.0 428:10.0 436:3.0 440:2.0 442:10.0 472:3.0 482:4.0 491:2.0</t>
  </si>
  <si>
    <t>270108</t>
  </si>
  <si>
    <t>342381</t>
  </si>
  <si>
    <t>175</t>
  </si>
  <si>
    <t>86:19.0 89:241.0 91:993.0 92:85.0 95:48.0 101:103.0 102:60.0 103:637.0 104:41.0 105:453.0 106:17.0 107:426.0 110:342.0 111:53.0 115:263.0 116:109.0 117:1162.0 119:298.0 127:18.0 128:261.0 129:273.0 130:13.0 133:94.0 136:41.0 137:1.0 141:92.0 142:33.0 144:17.0 145:15.0 147:718.0 149:65.0 154:7.0 155:3.0 170:14.0 172:96.0 174:1.0 175:4531.0 176:600.0 179:33.0 181:7.0 185:83.0 188:31.0 190:547.0 199:169.0 201:98.0 204:43.0 205:240.0 206:8.0 218:30.0 222:1.0 227:22.0 229:4.0 239:1.0 244:18.0 245:8.0 261:18.0 262:6.0 281:3.0 282:13.0 299:166.0 300:51.0 314:37.0 317:15.0 410:8.0 459:3.0 474:8.0</t>
  </si>
  <si>
    <t>270073</t>
  </si>
  <si>
    <t>310098</t>
  </si>
  <si>
    <t>85:2.0 86:830.0 88:5.0 89:263.0 90:227.0 91:432.0 92:29.0 93:83.0 94:97.0 99:128.0 100:561.0 101:3.0 102:852.0 108:337.0 109:126.0 110:5505.0 111:50.0 113:313.0 114:62.0 115:1.0 116:130.0 117:6.0 118:115.0 120:143.0 127:1355.0 128:207.0 129:127.0 130:761.0 131:235.0 134:3221.0 135:262.0 136:87.0 137:12.0 139:12.0 143:954.0 144:48.0 145:54.0 146:72.0 147:53.0 148:25.0 149:5.0 150:885.0 151:22.0 156:279.0 158:227.0 160:3.0 165:92.0 167:52.0 169:77.0 170:9.0 171:21.0 172:33.0 177:1.0 179:2.0 180:6.0 184:1637.0 185:76.0 186:3.0 191:7.0 193:3.0 197:254.0 199:100.0 200:2767.0 201:408.0 202:43.0 203:1.0 206:1.0 207:8.0 208:1.0 209:1.0 216:4.0 228:684.0 229:31.0 230:1.0 251:2.0 254:330.0 255:11.0 266:1.0 267:3.0 282:1.0 299:1.0 308:1.0 321:4.0 379:1.0 386:13.0 407:2.0 422:3.0 447:4.0 460:16.0 494:5.0</t>
  </si>
  <si>
    <t>269936</t>
  </si>
  <si>
    <t>453103</t>
  </si>
  <si>
    <t>86:5915.0 87:311.0 88:587.0 89:13.0 90:40.0 91:1403.0 92:122.0 93:42.0 94:35.0 95:98.0 96:3.0 97:37.0 98:167.0 100:2775.0 101:9.0 102:1145.0 103:7.0 106:50.0 108:265.0 110:848.0 114:24.0 116:160.0 119:55.0 120:60.0 124:36.0 130:2152.0 131:96.0 134:905.0 135:40.0 136:12.0 137:120.0 138:52.0 139:17.0 140:363.0 143:27.0 144:261.0 145:2.0 146:499.0 152:115.0 153:180.0 154:72.0 155:39.0 156:6.0 158:231.0 159:38.0 160:223.0 166:1.0 167:221.0 168:119.0 169:300.0 170:116.0 172:52.0 173:12.0 174:10964.0 175:1742.0 176:1038.0 177:9.0 178:14.0 181:110.0 184:950.0 185:9.0 186:221.0 187:22.0 188:243.0 189:54.0 190:13.0 195:41.0 198:42.0 199:124.0 200:10.0 202:5.0 204:197.0 205:27.0 209:131.0 210:5.0 211:615.0 212:145.0 213:6.0 214:2.0 216:80.0 217:33.0 218:22.0 220:3.0 225:13.0 226:81.0 230:11.0 232:19.0 233:242.0 234:715.0 235:14.0 236:136.0 237:58.0 239:1.0 241:4.0 244:15.0 247:1.0 248:327.0 249:6.0 252:917.0 253:877.0 254:187.0 255:3.0 256:1.0 264:3.0 266:4.0 275:741.0 276:163.0 292:6.0 293:89.0 294:2.0 301:103.0 302:23.0 303:4.0 304:4.0 305:4.0 308:8.0 309:1.0 315:3.0 316:153.0 317:26.0 318:3.0 321:13.0 324:22.0 329:2.0 334:1.0 337:2.0 343:3.0 363:13.0 366:6.0 368:38.0 369:18.0 370:2.0 375:10.0 383:1.0 385:24.0 387:34.0 394:1.0 399:22.0 401:13.0 405:8.0 413:14.0 422:17.0 436:1.0 438:22.0 442:3.0 450:10.0 464:4.0 481:2.0 483:4.0 484:10.0 491:1.0 497:3.0 498:10.0 499:2.0</t>
  </si>
  <si>
    <t>293</t>
  </si>
  <si>
    <t>269331</t>
  </si>
  <si>
    <t>491394</t>
  </si>
  <si>
    <t>85:158.0 87:321.0 88:233.0 91:284.0 92:14.0 95:16.0 96:84.0 97:184.0 98:463.0 99:34.0 100:7.0 107:629.0 108:111.0 109:74.0 110:594.0 111:39.0 113:270.0 114:69.0 118:235.0 122:7.0 124:11.0 125:31.0 126:422.0 127:31.0 130:331.0 134:708.0 135:101.0 140:2064.0 141:175.0 142:20.0 143:180.0 147:2214.0 148:484.0 151:47.0 154:39.0 157:86.0 158:55.0 162:10.0 165:10.0 166:20.0 168:53.0 170:48.0 172:27.0 174:161.0 183:2.0 184:317.0 185:120.0 186:37.0 196:1185.0 197:139.0 198:22.0 199:36.0 201:62.0 202:10.0 207:1.0 211:117.0 212:9.0 214:30.0 215:1.0 219:8.0 221:5.0 223:29.0 224:9.0 226:104.0 227:6.0 228:8.0 229:71.0 232:9.0 233:22.0 235:1.0 238:11.0 240:7.0 241:10.0 247:2.0 248:21.0 249:17.0 250:16.0 253:13.0 258:9.0 259:26.0 260:14.0 261:16.0 263:3.0 268:11.0 274:9.0 282:22.0 288:3.0 291:17.0 292:2.0 298:15.0 299:29.0 300:65.0 302:79.0 303:11.0 306:2.0 314:36.0 318:9.0 319:5.0 325:3.0 332:7.0 334:19.0 338:138.0 339:41.0 342:34.0 345:21.0 346:5.0 353:7.0 356:29.0 357:16.0 358:584.0 359:216.0 360:88.0 361:9.0 363:10.0 365:60.0 368:15.0 372:11.0 380:1.0 384:18.0 396:6.0 397:3.0 400:16.0 403:6.0 405:15.0 412:27.0 413:14.0 419:22.0 421:10.0 426:9.0 427:6.0 435:9.0 448:5.0 449:6.0 456:1.0 459:16.0 464:9.0 465:5.0 466:13.0 468:1.0 469:7.0 473:4.0 477:1.0 478:19.0 482:14.0 485:9.0 487:13.0 488:1.0 493:13.0 497:19.0</t>
  </si>
  <si>
    <t>269146</t>
  </si>
  <si>
    <t>237538</t>
  </si>
  <si>
    <t>86:757.0 91:12.0 92:130.0 95:72.0 97:365.0 98:126.0 100:1689.0 101:183.0 102:916.0 105:76.0 106:245.0 107:1471.0 108:118.0 109:109.0 110:3311.0 111:92.0 114:39.0 118:257.0 120:25.0 122:4.0 126:374.0 127:270.0 128:2916.0 129:154.0 130:1218.0 132:41.0 134:975.0 136:52.0 143:186.0 167:128.0 170:4.0 184:615.0 185:124.0 186:115.0 198:245.0 199:70.0 201:14.0 213:84.0 228:195.0 280:77.0 296:53.0 312:10.0</t>
  </si>
  <si>
    <t>268709</t>
  </si>
  <si>
    <t>417713</t>
  </si>
  <si>
    <t>85:5247.0 86:4878.0 87:531.0 88:383.0 89:445.0 90:23.0 91:271.0 92:136.0 96:4.0 97:625.0 98:671.0 99:1137.0 100:302.0 101:367.0 103:1353.0 104:177.0 106:90.0 108:1583.0 109:18.0 110:9995.0 111:916.0 112:443.0 113:2618.0 114:698.0 115:482.0 116:587.0 117:1.0 118:126.0 119:7.0 120:41.0 124:20.0 125:2.0 126:579.0 127:9.0 128:2505.0 129:423.0 130:405.0 134:2339.0 140:453.0 141:755.0 142:6428.0 143:789.0 144:183.0 145:136.0 146:38.0 148:14.0 149:2.0 150:1.0 151:8.0 152:97.0 153:22.0 154:99.0 156:9790.0 157:562.0 159:2460.0 160:522.0 166:137.0 167:91.0 169:19.0 171:1489.0 172:62.0 173:66.0 174:11.0 177:3.0 179:79.0 180:155.0 181:4.0 182:43.0 183:162.0 184:14202.0 185:815.0 186:69.0 187:1209.0 188:226.0 189:12.0 191:5.0 192:2.0 194:215.0 195:44.0 196:13.0 198:305.0 199:117.0 200:27.0 203:103.0 204:109.0 206:4.0 208:1.0 213:46.0 214:25.0 218:7.0 221:1.0 222:8.0 226:282.0 232:2.0 233:2.0 238:21.0 245:1.0 248:10.0 250:1.0 253:360.0 254:111.0 264:10.0 268:855.0 269:119.0 273:17.0 280:2.0 289:1.0 294:5.0 304:7.0 305:22.0 307:1.0 315:3.0 318:34.0 334:5.0 360:5.0 383:16.0 391:3.0 429:2.0 442:14.0 447:29.0 462:13.0</t>
  </si>
  <si>
    <t>268590</t>
  </si>
  <si>
    <t>282017</t>
  </si>
  <si>
    <t>85:2410.0 86:7035.0 87:437.0 88:233.0 89:408.0 90:1646.0 91:961.0 93:61.0 95:41.0 97:78.0 99:84.0 100:376.0 101:227.0 102:67.0 103:998.0 104:410.0 105:223.0 106:46.0 107:248.0 108:227.0 109:205.0 110:811.0 112:155.0 115:8.0 116:654.0 117:1791.0 118:401.0 120:6.0 122:12.0 126:16.0 127:109.0 128:429.0 129:8.0 130:1208.0 134:256.0 135:51.0 136:141.0 140:5386.0 141:207.0 144:98.0 146:290.0 157:7.0 160:117.0 165:173.0 170:149.0 171:457.0 172:28.0 174:63.0 184:1952.0 185:371.0 186:33.0 188:145.0 199:150.0 200:70.0 201:25.0 218:21.0 223:6.0 230:1194.0 231:137.0 232:99.0 234:29.0 246:2.0 274:16.0 300:13.0 360:2.0 415:17.0 449:5.0 484:17.0</t>
  </si>
  <si>
    <t>268506</t>
  </si>
  <si>
    <t>301113</t>
  </si>
  <si>
    <t>85:307.0 86:714.0 87:1040.0 98:1322.0 99:1481.0 100:1639.0 101:420.0 102:102.0 103:248.0 105:324.0 107:867.0 109:106.0 110:635.0 112:151.0 113:595.0 114:4046.0 115:696.0 116:315.0 117:343.0 118:496.0 119:50.0 120:30.0 121:16.0 126:610.0 128:238.0 129:212.0 130:432.0 131:2223.0 132:1397.0 133:1584.0 134:1717.0 135:201.0 136:161.0 139:264.0 140:166.0 142:53.0 143:168.0 144:202.0 146:141.0 147:53208.0 148:7909.0 149:3796.0 150:354.0 151:27.0 158:80.0 168:45.0 170:63.0 172:8107.0 173:1375.0 174:653.0 184:686.0 186:274.0 188:11832.0 189:2323.0 190:817.0 191:137.0 197:7.0 200:306.0 214:38.0 216:6767.0 217:1256.0 218:487.0 223:6.0 228:184.0 231:2175.0 232:371.0 233:140.0 263:3.0 285:33.0 286:32.0 343:9.0 352:1.0</t>
  </si>
  <si>
    <t>268445</t>
  </si>
  <si>
    <t>225354</t>
  </si>
  <si>
    <t>86:119.0 87:128.0 88:2019.0 90:227.0 92:120.0 97:204.0 98:132.0 106:2.0 107:522.0 109:73.0 110:87.0 111:131.0 113:13.0 114:88.0 116:773.0 117:249.0 118:473.0 128:421.0 129:14.0 130:5721.0 131:1827.0 132:1306.0 134:242.0 136:135.0 138:40.0 141:25.0 143:247.0 144:146.0 146:1914.0 148:135.0 160:72.0 161:1293.0 162:31.0 163:24.0 166:16.0 173:204.0 174:4104.0 175:508.0 176:58.0 177:54.0 182:17.0 185:64.0 186:42.0 189:213.0 199:210.0 226:46.0 255:12.0 269:5.0 281:22.0 305:4.0 317:10.0 327:6.0 337:9.0 405:2.0 410:17.0 412:4.0 433:8.0 444:10.0 453:3.0 469:1.0 480:18.0 492:9.0</t>
  </si>
  <si>
    <t>268365</t>
  </si>
  <si>
    <t>459616</t>
  </si>
  <si>
    <t>85:9749.0 86:15708.0 87:8647.0 88:2670.0 89:2466.0 90:350.0 91:407.0 92:819.0 93:3390.0 94:1992.0 95:1304.0 96:2757.0 97:1430.0 98:14443.0 99:13097.0 100:76436.0 101:11531.0 102:8100.0 103:49519.0 104:5150.0 105:5844.0 106:897.0 107:7497.0 108:970.0 109:486.0 110:1861.0 111:1793.0 112:25299.0 113:10819.0 114:15061.0 115:10562.0 116:3519.0 117:18670.0 118:3706.0 119:3920.0 120:443.0 121:3044.0 122:290.0 123:830.0 124:723.0 125:682.0 126:3230.0 127:1214.0 128:9014.0 129:4547.0 130:7353.0 131:32514.0 132:16955.0 133:31207.0 134:3682.0 135:1958.0 136:171.0 137:335.0 138:388.0 139:183304.0 140:25347.0 141:10992.0 142:2226.0 143:645.0 144:1563.0 145:586.0 146:1905.0 147:277427.0 148:43304.0 149:22432.0 150:2929.0 151:1495.0 152:314.0 153:4201.0 154:3562.0 155:1197704.0 156:159275.0 157:51215.0 158:11759.0 159:2801.0 160:1787.0 161:667.0 162:213.0 163:587.0 164:82.0 165:82.0 167:5928.0 168:1262.0 169:434.0 170:350.0 171:389.0 172:2098.0 173:658.0 174:2768.0 175:562.0 176:342.0 181:20.0 182:138.0 183:281.0 184:514.0 185:244.0 186:1055.0 187:186.0 188:644.0 190:48.0 191:3.0 196:18.0 197:200.0 198:52.0 199:57.0 200:193.0 202:212.0 203:689.0 204:2317.0 205:272.0 206:100.0 211:5106.0 212:964.0 213:5818.0 214:1410.0 215:403.0 216:751.0 217:32.0 218:7284.0 219:1361.0 220:557.0 223:6.0 227:271.0 228:127.0 229:58571.0 230:13319.0 231:5619.0 232:1063.0 233:139.0 234:7.0 239:301.0 240:75.0 241:165.0 242:12.0 243:76.0 245:5.0 246:19.0 255:33.0 256:6.0 257:10806.0 258:2286.0 259:951.0 260:93.0 265:3.0 272:28.0 301:1.0 319:1.0 335:1.0 384:23.0</t>
  </si>
  <si>
    <t>268313</t>
  </si>
  <si>
    <t>315878</t>
  </si>
  <si>
    <t>212</t>
  </si>
  <si>
    <t>85:294.0 86:277.0 90:192.0 91:10.0 93:305.0 94:178.0 98:773.0 99:271.0 100:427.0 104:13.0 106:61.0 107:1440.0 108:347.0 109:102.0 112:71.0 114:159.0 117:90.0 118:222.0 119:15.0 120:31.0 122:4969.0 123:507.0 124:614.0 125:7.0 127:156.0 128:119.0 130:1434.0 134:969.0 135:183.0 136:193.0 138:30.0 139:97.0 140:97.0 142:55.0 143:155.0 147:583.0 148:24.0 150:91.0 154:6.0 155:950.0 156:383.0 174:20.0 182:3.0 183:30.0 184:130.0 185:89.0 186:114.0 196:193.0 198:9.0 212:5558.0 213:870.0 214:230.0 227:10.0 312:3.0 319:7.0 336:3.0 359:12.0 382:5.0 398:1.0 487:1.0</t>
  </si>
  <si>
    <t>243609</t>
  </si>
  <si>
    <t>791498</t>
  </si>
  <si>
    <t>85:257.0 86:602.0 87:1.0 89:2276.0 90:392.0 91:18552.0 92:11026.0 93:2408.0 94:304.0 95:9120.0 96:1005.0 97:2101.0 98:832.0 99:1049.0 100:1593.0 101:824.0 102:249.0 103:3965.0 104:920.0 105:8825.0 106:902.0 107:815.0 109:3868.0 110:1502.0 111:4644.0 112:791.0 113:578.0 115:5817.0 116:2528.0 117:20929.0 118:5127.0 119:7436.0 120:448.0 122:643.0 123:14299.0 124:1453.0 125:295.0 127:236.0 128:2292.0 129:1650.0 130:5680.0 131:11290.0 132:2397.0 133:27187.0 134:5876.0 137:946.0 138:619.0 139:134.0 140:151.0 141:584.0 142:598.0 143:33150.0 144:4017.0 145:5733.0 146:37103.0 147:11239.0 148:1653.0 149:234.0 150:86.0 151:4178.0 152:505.0 153:650.0 154:700.0 155:374.0 156:1267.0 157:2256.0 158:617.0 159:35527.0 160:5355.0 161:1687.0 162:327.0 167:137.0 168:5.0 169:1006.0 171:270.0 172:3232.0 173:3584.0 174:545.0 180:27.0 182:15.0 183:97.0 185:322.0 186:809.0 187:12259.0 188:2076.0 190:240.0 195:1.0 197:245.0 198:34.0 199:207.0 201:10.0 202:69.0 205:839.0 206:323.0 207:1478.0 208:49.0 211:73.0 212:65.0 213:644.0 214:20.0 215:458.0 216:839.0 217:12190.0 218:2162.0 219:809.0 220:17.0 221:2726.0 222:380.0 223:315.0 225:297.0 227:322.0 228:480.0 229:70.0 234:32.0 235:130.0 236:11.0 240:37.0 241:1234.0 242:260.0 243:42.0 247:406.0 250:77.0 256:326.0 259:32.0 260:95.0 261:130.0 262:112.0 263:2682.0 264:643.0 265:491.0 267:260.0 268:14.0 269:257.0 270:10.0 272:110.0 273:29.0 274:76.0 276:19.0 277:447.0 278:105.0 279:102.0 281:659.0 282:795.0 283:260.0 284:2679.0 285:607.0 286:85.0 287:50.0 289:95.0 294:1620.0 295:1241.0 296:392.0 297:172.0 298:66.0 299:91.0 300:122.0 301:175.0 303:155.0 305:111.0 306:11.0 309:201.0 310:151.0 311:191.0 312:95.0 313:32.0 314:37.0 319:409.0 320:68.0 321:145.0 322:56.0 323:79.0 328:9.0 329:56.0 332:539.0 333:171.0 334:147.0 335:18.0 339:1.0 341:263.0 344:20.0 345:28.0 346:48.0 353:24.0 355:19.0 356:48.0 359:1840.0 360:677.0 362:24.0 364:687.0 365:196.0 366:194.0 367:44.0 368:96.0 369:278.0 370:117.0 371:124.0 373:17.0 374:1896.0 375:740.0 376:259.0 377:12.0 378:28.0 380:3.0 382:60.0 383:106.0 384:116.0 385:41.0 389:14.0 397:59.0 400:442.0 401:213.0 402:101.0 403:36.0 406:18.0 408:7.0 409:27.0 412:48.0 415:31.0 416:12.0 417:99.0 422:6.0 423:1.0 428:12.0 429:48.0 436:10.0 447:10.0 455:23.0 457:10.0 471:3.0 474:23.0 475:120.0 478:1.0 481:5.0 484:9.0 485:3.0 487:60.0 488:7.0</t>
  </si>
  <si>
    <t>242681</t>
  </si>
  <si>
    <t>269935</t>
  </si>
  <si>
    <t>85:1072.0 86:3628.0 87:4008.0 88:1130.0 89:6155.0 91:1248.0 94:6.0 98:475.0 99:3354.0 100:16938.0 101:3174.0 102:2109.0 103:6401.0 104:1569.0 105:1244.0 107:11418.0 108:995.0 109:596.0 110:3959.0 113:459.0 114:5638.0 115:2352.0 116:632.0 117:3254.0 118:2235.0 119:3547.0 120:953.0 122:394.0 125:1164.0 126:423.0 127:3326.0 128:1741.0 129:946.0 130:12944.0 131:5245.0 132:5416.0 133:10067.0 134:20214.0 135:1877.0 136:725.0 140:1595.0 141:372.0 142:1409.0 143:2387.0 144:140.0 145:409.0 146:2814.0 147:85161.0 148:16823.0 149:9077.0 150:1000.0 156:73.0 160:1641.0 161:972.0 162:543.0 163:393.0 164:570.0 167:49.0 170:99.0 171:178.0 172:686.0 173:166.0 174:709.0 175:336.0 177:1096.0 180:167.0 184:4996.0 185:229.0 187:196.0 188:9232.0 189:2111.0 190:254.0 191:23922.0 192:4478.0 193:1687.0 194:188.0 195:51.0 196:19.0 199:596.0 200:214.0 202:408.0 203:269.0 204:2754.0 205:26.0 206:366.0 209:34.0 211:147.0 212:21.0 214:40.0 215:712.0 216:12247.0 217:2476.0 219:545.0 220:22.0 221:625.0 223:61.0 225:13.0 226:17.0 227:12.0 228:28.0 229:1.0 230:668.0 231:8275.0 232:1899.0 233:970.0 234:190.0 235:10.0 236:318.0 237:215.0 238:37.0 239:48.0 240:37.0 242:1.0 246:20.0 247:10.0 252:8.0 259:9.0 261:29.0 263:5.0 269:123.0 270:17.0 274:6.0 279:19.0 284:51.0 291:9.0 318:4.0 333:26.0 339:8.0 344:3.0 368:4.0 384:2.0 398:5.0 406:1.0 419:8.0 441:5.0 443:3.0 481:9.0 488:14.0</t>
  </si>
  <si>
    <t>242417</t>
  </si>
  <si>
    <t>374883</t>
  </si>
  <si>
    <t>86:1859.0 87:161.0 88:192.0 89:848.0 91:2082.0 92:210.0 93:397.0 94:28.0 97:144.0 99:66.0 100:2050.0 101:188.0 102:16.0 104:456.0 105:1180.0 107:9206.0 109:403.0 110:3146.0 111:502.0 112:304.0 114:1731.0 115:233.0 116:862.0 117:144.0 118:137.0 119:384.0 120:330.0 121:1072.0 122:99.0 123:118.0 124:212.0 126:60.0 127:1096.0 128:486.0 130:9674.0 133:2094.0 134:25304.0 135:24509.0 136:3090.0 137:830.0 143:243.0 146:435.0 147:1722.0 148:336.0 149:192.0 151:156.0 152:215.0 156:99.0 158:1.0 159:15.0 160:479.0 161:291.0 162:2.0 165:151.0 167:386.0 168:17.0 169:158.0 170:303.0 171:269.0 174:2130.0 175:279.0 176:89.0 177:95.0 179:587.0 180:376.0 181:892.0 182:139.0 184:2047.0 186:16.0 187:37.0 190:4.0 191:1125.0 193:1363.0 194:397.0 195:1497.0 197:81.0 198:87.0 199:947.0 200:124.0 202:45.0 204:35.0 205:181.0 206:41.0 207:4.0 209:307.0 210:203.0 211:597.0 212:17.0 213:35.0 215:255.0 217:12.0 218:22.0 219:29.0 223:56.0 224:3.0 225:55.0 226:228.0 227:38.0 228:2157.0 229:225.0 231:1.0 232:146.0 237:166.0 241:1.0 243:2.0 244:31.0 246:5.0 251:727.0 252:501.0 253:313.0 254:9.0 256:3.0 259:22.0 261:2.0 267:1931.0 268:445.0 269:178.0 270:40.0 283:11240.0 284:3327.0 285:1535.0 286:230.0 292:27.0 294:6.0 295:13.0 296:3.0 298:32.0 299:32.0 300:17.0 302:17.0 305:14.0 306:104.0 307:26.0 308:6.0 309:6.0 311:5.0 315:3.0 322:5.0 324:9.0 327:72.0 328:6.0 329:9.0 330:1.0 346:28.0 349:4.0 350:26.0 354:20.0 359:4.0 360:1.0 362:14.0 372:1.0 375:10.0 378:16.0 381:1.0 388:2.0 404:14.0 409:18.0 413:10.0 417:36.0 421:1.0 423:5.0 424:15.0 430:4.0 434:20.0 441:26.0 443:12.0 451:12.0 454:12.0 455:1.0 456:24.0 457:10.0 460:6.0 461:1.0 463:1.0 466:17.0 468:31.0 470:1.0 472:32.0 475:1.0 478:9.0 479:5.0 481:31.0 482:22.0 483:24.0 494:12.0 496:13.0</t>
  </si>
  <si>
    <t>242219</t>
  </si>
  <si>
    <t>853373</t>
  </si>
  <si>
    <t>86:2.0 91:6.0 96:4.0 97:2.0 99:71.0 100:128.0 103:85.0 110:1.0 113:7.0 114:4.0 115:3.0 116:4317.0 117:39.0 121:1.0 129:727.0 130:1.0 131:9.0 132:12630.0 133:983.0 134:198.0 141:4.0 142:39.0 143:4.0 145:2.0 146:1.0 152:1.0 153:1.0 157:1.0 158:1.0 159:2.0 165:1.0 166:1.0 168:3.0 169:17.0 170:1.0 171:2.0 178:1.0 181:1.0 182:1.0 183:27.0 186:1.0 195:2.0 196:61.0 199:1.0 204:5.0 211:167.0 213:7.0 217:238.0 218:12.0 227:84.0 231:41.0 232:2.0 235:6.0 240:2.0 242:102.0 243:74.0 244:57.0 250:1.0 251:9.0 253:16.0 255:46.0 256:4.0 257:1.0 265:9.0 268:18.0 271:55.0 285:36.0 287:16.0 291:6.0 299:490.0 300:156.0 301:13.0 307:4.0 308:19.0 309:32.0 311:12.0 313:4.0 314:22.0 315:533.0 316:150.0 317:81.0 318:76.0 327:3.0 338:63.0 357:2.0 363:9.0 365:9.0 374:18.0 384:3.0 387:98.0 389:25.0 399:4.0 401:51.0 415:23.0 434:1.0 437:1.0 438:8.0 439:5.0 453:2.0 474:4.0 475:3.0 476:24.0 479:3.0</t>
  </si>
  <si>
    <t>242216</t>
  </si>
  <si>
    <t>788444</t>
  </si>
  <si>
    <t>85:169.0 86:462.0 87:329.0 88:40.0 89:1411.0 91:57.0 94:29.0 97:560.0 98:729.0 99:560.0 100:668.0 101:502.0 102:149.0 103:1787.0 104:205.0 105:126.0 107:407.0 109:364.0 110:86.0 111:64.0 112:347.0 113:289.0 114:139.0 115:867.0 116:3819.0 121:70.0 122:124.0 125:491.0 127:86.0 128:785.0 129:1237.0 130:419.0 131:3416.0 132:1072.0 133:369.0 134:1009.0 135:657.0 136:17.0 137:150.0 139:257.0 140:129.0 141:60.0 142:542.0 143:838.0 144:658.0 146:17.0 147:3836.0 149:67.0 152:47.0 154:151.0 156:393.0 157:1181.0 158:994.0 159:194.0 160:1815.0 161:355.0 163:61.0 164:78.0 165:118.0 168:222.0 169:403.0 170:193.0 171:600.0 174:198.0 176:58.0 178:9.0 179:60.0 180:16.0 182:193.0 183:146.0 184:141.0 186:159.0 187:150.0 189:147.0 191:249.0 192:217.0 194:46.0 195:326.0 196:59.0 197:204.0 198:262.0 199:365.0 201:825.0 204:182.0 205:61.0 208:174.0 209:93.0 211:536.0 212:172.0 213:14.0 215:441.0 216:283.0 217:1689.0 218:408.0 219:309.0 220:62.0 223:45.0 225:320.0 226:187.0 227:386.0 229:674.0 230:252.0 231:96.0 232:103.0 233:113.0 234:13.0 235:35.0 236:81.0 242:47.0 243:70.0 244:27.0 245:25.0 246:12.0 247:77.0 248:87.0 250:10.0 254:22.0 255:50.0 256:71.0 257:511.0 262:76.0 263:67.0 266:163.0 270:34.0 271:152.0 272:78.0 273:28.0 274:95.0 275:37.0 276:29.0 281:192.0 282:999.0 283:405.0 284:69.0 285:32.0 286:32.0 288:72.0 291:67.0 297:106.0 299:1788.0 300:520.0 301:200.0 302:41.0 304:6.0 307:79.0 308:1.0 312:173.0 314:61.0 315:3395.0 316:1303.0 317:593.0 318:198.0 319:574.0 320:154.0 321:127.0 322:3.0 323:10.0 331:15.0 337:44.0 338:5.0 339:32.0 341:1365.0 342:380.0 345:63.0 346:47.0 347:13.0 348:6.0 353:58.0 355:115.0 356:98.0 357:117.0 358:55.0 361:32.0 368:9.0 369:35.0 372:107.0 373:25.0 383:10.0 384:40.0 385:2.0 387:145.0 388:55.0 389:59.0 399:74.0 401:1.0 414:14.0 429:32.0 436:17.0 437:9.0 443:4.0 453:15.0 459:6.0 461:14.0 483:27.0 485:1.0</t>
  </si>
  <si>
    <t>241881</t>
  </si>
  <si>
    <t>1181077</t>
  </si>
  <si>
    <t>295</t>
  </si>
  <si>
    <t>87:111.0 88:166.0 96:375.0 103:1314.0 109:41.0 115:119.0 117:8.0 119:56.0 125:77.0 129:399.0 131:331.0 132:32.0 133:1927.0 140:14.0 145:638.0 146:18.0 147:34642.0 148:5342.0 149:2095.0 150:240.0 151:25.0 154:98.0 155:90.0 157:87.0 165:148.0 176:51.0 177:93.0 179:13.0 192:279.0 194:360.0 195:62.0 196:48.0 204:844.0 205:1014.0 206:262.0 207:16919.0 208:3684.0 209:1999.0 210:85.0 211:16.0 216:14.0 217:78.0 218:61.0 219:95.0 220:122.0 221:53782.0 222:12587.0 223:6925.0 224:984.0 225:360.0 226:12.0 232:59.0 235:71.0 236:9.0 237:151.0 238:34.0 239:59.0 241:27.0 242:49.0 243:14.0 247:19.0 249:74.0 250:247.0 251:448.0 252:273.0 253:489.0 254:233.0 260:35.0 261:5.0 262:19.0 263:163.0 264:70.0 265:1368.0 266:502.0 267:2320.0 268:820.0 269:419.0 270:138.0 271:101.0 277:62.0 279:1118.0 280:553.0 281:11429.0 282:3306.0 283:2206.0 284:427.0 285:220.0 286:47.0 287:20.0 290:17.0 293:153.0 294:82.0 295:18954.0 296:6215.0 297:3596.0 298:760.0 299:255.0 300:23.0 304:17.0 306:37.0 307:106.0 308:21.0 309:169.0 310:52.0 311:222.0 312:123.0 313:129.0 314:8.0 315:97.0 316:13.0 319:56.0 320:24.0 321:4.0 322:83.0 323:40.0 324:72.0 325:1007.0 326:356.0 327:870.0 328:441.0 329:398.0 330:64.0 331:19.0 332:21.0 338:13.0 339:679.0 340:154.0 341:2637.0 342:1131.0 343:665.0 344:53.0 345:13.0 348:62.0 353:284.0 354:328.0 355:3471.0 356:1379.0 357:939.0 358:292.0 359:84.0 360:39.0 362:4.0 363:37.0 364:20.0 367:26.0 368:239.0 369:9470.0 370:3914.0 371:2418.0 372:778.0 373:225.0 374:53.0 375:38.0 376:4.0 378:38.0 379:34.0 380:17.0 381:41.0 383:186.0 384:101.0 385:63.0 386:42.0 388:145.0 389:22.0 390:8.0 394:37.0 395:32.0 396:5.0 397:31.0 398:44.0 399:374.0 400:168.0 401:889.0 402:379.0 403:267.0 405:23.0 407:24.0 412:15.0 413:81.0 414:147.0 415:447.0 416:393.0 417:187.0 420:52.0 421:19.0 425:9.0 426:9.0 427:39.0 428:176.0 429:657.0 430:402.0 431:115.0 432:40.0 433:22.0 435:17.0 441:10.0 442:11.0 443:476.0 444:330.0 445:170.0 446:118.0 447:79.0 448:63.0 449:32.0 453:38.0 458:8.0 459:142.0 461:383.0 462:87.0 463:122.0 464:59.0 467:35.0 471:4.0 472:21.0 473:14.0 474:105.0 476:267.0 477:99.0 480:2.0 481:26.0 484:5.0 485:7.0 486:9.0 487:45.0 489:237.0 490:218.0 491:150.0 492:28.0 494:8.0</t>
  </si>
  <si>
    <t>143</t>
  </si>
  <si>
    <t>241389</t>
  </si>
  <si>
    <t>643179</t>
  </si>
  <si>
    <t>85:179.0 87:21.0 89:4578.0 90:606.0 94:35.0 99:144.0 100:473.0 101:1195.0 102:5.0 103:3366.0 107:2153.0 109:71.0 113:132.0 114:169.0 115:250.0 116:1165.0 117:3105.0 118:309.0 119:149.0 120:8.0 124:48.0 127:177.0 129:4116.0 131:2024.0 132:244.0 133:11523.0 134:863.0 138:1.0 139:71.0 142:182.0 143:1044.0 146:1799.0 147:5328.0 148:356.0 155:270.0 159:599.0 162:8.0 163:445.0 164:11.0 168:48.0 169:674.0 170:38.0 171:225.0 174:126.0 175:250.0 177:74.0 187:67.0 189:1405.0 190:192.0 191:999.0 192:65.0 195:37.0 199:9.0 203:761.0 204:22195.0 205:3825.0 206:1778.0 208:41.0 211:3.0 213:63.0 215:40.0 216:69.0 217:5041.0 218:1240.0 219:467.0 220:135.0 227:51.0 230:15.0 231:573.0 232:53.0 233:209.0 234:26.0 239:47.0 242:20.0 243:261.0 245:57.0 247:107.0 248:24.0 255:102.0 256:95.0 257:76.0 259:25.0 260:14.0 271:72.0 273:32.0 274:6.0 277:94.0 282:3.0 283:51.0 284:37.0 285:2.0 287:102.0 288:81.0 289:67.0 290:115.0 291:136.0 292:10.0 294:6.0 299:8.0 303:88.0 305:183.0 310:10.0 313:1.0 316:36.0 317:117.0 324:2.0 325:14.0 329:33.0 331:21.0 332:14.0 333:37.0 345:101.0 359:41.0 361:89.0 362:31.0 363:33.0 364:12.0 367:30.0 371:2.0 375:1.0 376:22.0 377:113.0 378:27.0 381:1.0 386:16.0 387:3.0 391:18.0 398:5.0 400:24.0 403:152.0 404:58.0 418:3.0 421:15.0 424:24.0 428:10.0 433:7.0 435:30.0 437:13.0 439:20.0 455:21.0 457:4.0 459:28.0 461:22.0 464:21.0 465:34.0 466:13.0 468:18.0 471:6.0 472:3.0 474:10.0 483:27.0 486:21.0 496:11.0 498:2.0</t>
  </si>
  <si>
    <t>241097</t>
  </si>
  <si>
    <t>496950</t>
  </si>
  <si>
    <t>263</t>
  </si>
  <si>
    <t>85:436.0 89:529.0 91:440.0 92:428.0 94:1046.0 96:447.0 97:3.0 98:130.0 99:7758.0 100:5058.0 103:232.0 105:74.0 106:669.0 107:3335.0 108:916.0 109:296.0 110:3583.0 111:648.0 112:4211.0 113:9669.0 114:2384.0 115:4737.0 116:597.0 121:1731.0 122:413.0 123:121.0 124:354.0 125:726.0 126:1164.0 127:1101.0 128:2993.0 129:58.0 131:1256.0 132:353.0 133:638.0 134:586.0 136:704.0 137:22.0 138:384.0 139:13135.0 140:234.0 141:193.0 142:2377.0 143:1563.0 147:11721.0 148:1496.0 149:1720.0 150:3718.0 151:826.0 152:333.0 153:2201.0 154:2082.0 155:129278.0 156:22658.0 157:6408.0 158:1755.0 161:204.0 163:191.0 164:92.0 166:2444.0 167:1302.0 168:1078.0 169:1142.0 170:1941.0 171:3815.0 174:418.0 175:1386.0 179:69.0 180:85.0 181:130.0 182:541.0 183:1006.0 184:320.0 185:174.0 186:227.0 187:3311.0 188:1022.0 189:245.0 191:7836.0 192:1124.0 193:500.0 194:2.0 195:16.0 196:4407.0 197:2468.0 198:657.0 199:229.0 200:1048.0 201:379.0 202:1473.0 203:1030.0 207:1795.0 210:4.0 211:203.0 212:99.0 213:458.0 214:1236.0 215:654.0 219:57.0 220:282.0 221:719.0 224:4.0 225:14.0 227:152.0 228:2492.0 229:535.0 230:25.0 232:296.0 235:133.0 236:8.0 237:15.0 238:74.0 239:161.0 240:2003.0 241:142.0 242:5343.0 243:1116.0 244:449.0 245:614.0 247:902.0 248:71.0 249:11.0 250:126.0 251:29.0 252:44.0 253:15.0 254:1751.0 255:1363.0 257:15958.0 258:2357.0 259:1302.0 260:171.0 262:26.0 263:22492.0 264:5455.0 265:1199.0 266:141.0 268:18.0 269:28.0 270:36.0 272:1659.0 273:418.0 274:73.0 276:3.0 277:36.0 278:2583.0 279:667.0 280:138.0 283:19.0 284:316.0 285:57.0 286:171.0 287:6.0 293:5.0 296:38.0 298:8.0 299:111.0 300:47.0 302:211.0 303:35.0 304:20.0 305:225.0 306:138.0 307:19.0 308:6.0 312:62.0 313:14.0 314:33.0 315:16.0 318:58.0 319:45.0 320:3.0 322:23.0 323:59.0 324:1.0 327:120.0 330:35.0 331:6.0 333:557.0 334:101.0 335:54.0 337:2.0 340:14.0 344:139.0 348:24.0 349:7.0 350:2.0 353:18.0 355:61.0 356:15.0 357:16.0 359:35.0 365:19.0 366:7.0 367:52.0 368:21.0 369:13.0 370:16.0 372:162.0 373:117.0 375:5.0 377:1.0 380:2.0 382:15.0 383:6.0 384:7.0 387:24.0 390:1.0 397:2.0 401:39.0 407:5.0 411:2.0 425:1.0 437:1.0 447:32.0 452:7.0 459:4.0 467:2.0 473:2.0 475:38.0 490:4.0</t>
  </si>
  <si>
    <t>241054</t>
  </si>
  <si>
    <t>761023</t>
  </si>
  <si>
    <t>86:3933.0 87:311.0 88:28.0 91:719.0 94:1.0 100:1838.0 101:424.0 110:6.0 111:3.0 113:6.0 114:61.0 116:219.0 117:450.0 118:232.0 120:128.0 122:12.0 126:2.0 127:1.0 128:6.0 129:122.0 131:49.0 132:4.0 139:1.0 140:4.0 143:7.0 144:308.0 146:95.0 150:2.0 153:1.0 154:23.0 157:4.0 158:325.0 159:93.0 160:77.0 167:1.0 169:2.0 170:69.0 172:142.0 173:1.0 174:16971.0 175:2919.0 176:1325.0 179:8.0 180:1.0 184:50.0 186:10.0 195:2.0 196:27.0 197:1.0 199:50.0 201:28.0 207:2.0 209:6.0 217:4.0 218:536.0 219:45.0 223:1.0 224:1.0 225:26.0 226:12.0 229:1.0 232:15.0 235:46.0 237:20.0 239:34.0 242:65.0 243:1.0 252:3.0 258:94.0 260:9.0 265:22.0 266:7.0 267:3.0 276:79.0 278:16.0 280:22.0 297:1.0 304:33.0 305:31.0 314:9.0 315:31.0 319:11.0 325:25.0 326:8.0 341:1.0 343:34.0 355:77.0 367:23.0 368:70.0 399:1.0 404:13.0 405:440.0 406:173.0 407:30.0 411:2.0 412:1.0 420:27.0 428:8.0 446:2.0 470:6.0 471:5.0 475:11.0</t>
  </si>
  <si>
    <t>240432</t>
  </si>
  <si>
    <t>1100168</t>
  </si>
  <si>
    <t>87:64.0 88:144.0 89:121.0 96:218.0 103:592.0 109:35.0 115:176.0 116:43.0 117:456.0 118:199.0 119:27.0 125:56.0 133:1197.0 135:213.0 145:797.0 147:18642.0 148:2181.0 149:844.0 150:9.0 151:18.0 154:57.0 159:6.0 163:350.0 164:55.0 177:429.0 178:103.0 179:475.0 189:98.0 191:1307.0 192:320.0 193:834.0 194:69.0 196:113.0 205:558.0 206:175.0 207:9719.0 208:1496.0 209:1300.0 210:63.0 211:80.0 219:59.0 220:9.0 221:26944.0 222:5611.0 223:3216.0 224:502.0 225:148.0 233:5.0 237:3.0 238:78.0 240:59.0 247:94.0 249:268.0 250:136.0 251:185.0 252:170.0 253:308.0 254:68.0 255:55.0 263:105.0 264:73.0 265:1048.0 266:418.0 267:1810.0 268:499.0 269:305.0 274:32.0 278:17.0 279:449.0 280:331.0 281:5752.0 282:2025.0 283:1070.0 284:278.0 285:93.0 287:3.0 293:61.0 294:65.0 295:8723.0 296:2462.0 297:1611.0 298:288.0 299:103.0 300:11.0 309:62.0 312:87.0 313:133.0 314:19.0 316:32.0 321:10.0 322:15.0 323:29.0 324:53.0 325:488.0 326:275.0 327:517.0 328:205.0 329:324.0 330:98.0 336:21.0 339:172.0 340:137.0 341:985.0 342:555.0 343:411.0 344:123.0 345:18.0 353:50.0 354:123.0 355:1540.0 356:845.0 357:383.0 358:11.0 359:97.0 367:6.0 368:146.0 369:4244.0 370:1691.0 371:976.0 372:274.0 373:130.0 375:6.0 385:159.0 387:120.0 388:32.0 397:34.0 399:236.0 400:216.0 401:307.0 402:330.0 403:115.0 404:29.0 413:19.0 414:26.0 415:545.0 416:305.0 417:119.0 418:35.0 426:2.0 428:14.0 429:525.0 430:221.0 431:190.0 432:47.0 443:183.0 444:69.0 445:103.0 446:53.0 459:25.0 461:109.0 462:15.0 473:2.0 475:214.0 477:145.0 478:40.0 489:7.0 490:38.0 491:97.0 493:32.0</t>
  </si>
  <si>
    <t>239718</t>
  </si>
  <si>
    <t>823379</t>
  </si>
  <si>
    <t>85:78617.0 86:5231.0 87:559.0 88:11.0 93:275.0 95:2030.0 97:5967.0 98:5382.0 99:31744.0 100:2125.0 107:2.0 108:17.0 109:1103.0 110:2609.0 111:7949.0 112:5492.0 113:19650.0 114:1620.0 115:1.0 117:4582.0 118:192.0 123:108.0 124:685.0 125:3600.0 126:3530.0 127:12269.0 128:1345.0 129:377.0 131:203.0 132:1814.0 139:655.0 140:697.0 141:7380.0 142:628.0 143:173.0 144:2.0 145:1217.0 152:148.0 153:1439.0 154:1477.0 155:6275.0 156:501.0 157:304.0 167:309.0 168:840.0 169:3094.0 170:364.0 171:184.0 174:152.0 178:97.0 182:126.0 183:1507.0 184:22.0 185:103.0 187:13.0 196:288.0 197:1499.0 198:78.0 199:117.0 201:138.0 209:9.0 210:166.0 211:814.0 212:47.0 213:51.0 219:149.0 220:3.0 224:37.0 225:177.0 227:8.0 228:41.0 234:106.0 236:112.0 238:128.0 239:462.0 241:13.0 243:11.0 252:24.0 253:198.0 254:10.0 265:62.0 266:125.0 270:13.0 272:53.0 273:21.0 275:124.0 277:40.0 278:7.0 281:169.0 282:58.0 283:94.0 284:52.0 288:13.0 289:93.0 290:63.0 291:537.0 292:155.0 293:20.0 294:48.0 295:58.0 296:34.0 300:20.0 301:23.0 303:6.0 304:186.0 305:154.0 306:7.0 307:59.0 309:59.0 311:27.0 313:70.0 315:41.0 316:8.0 318:7.0 320:34.0 321:16.0 325:26.0 326:85.0 327:16.0 329:6.0 333:53.0 336:13.0 338:31.0 340:5.0 341:124.0 342:48.0 346:727.0 347:311.0 348:127.0 349:8.0 355:536.0 356:218.0 357:4.0 358:25.0 361:19.0 362:16.0 363:10.0 365:35.0 368:6.0 370:47.0 371:8.0 372:4.0 373:7.0 381:34.0 382:3.0 385:3.0 387:32.0 388:105.0 389:114.0 390:14.0 392:23.0 401:56.0 403:131.0 404:42.0 405:6.0 409:3.0 411:15.0 416:43.0 432:52.0 433:16.0 441:34.0 444:7.0 445:29.0 456:3.0 461:2.0 472:8.0 475:41.0 476:8.0 477:4.0 491:16.0 493:6.0</t>
  </si>
  <si>
    <t>239592</t>
  </si>
  <si>
    <t>998561</t>
  </si>
  <si>
    <t>85:283.0 89:931.0 90:406.0 91:6706.0 92:537.0 93:243.0 99:204.0 101:327.0 103:2354.0 105:1087.0 107:183.0 109:14.0 113:10.0 115:481.0 116:162.0 117:1727.0 118:710.0 119:25691.0 120:2525.0 121:253.0 122:33.0 129:1628.0 132:7.0 141:62.0 142:208.0 143:933.0 144:96.0 145:404.0 146:120.0 147:36.0 148:456.0 149:856.0 150:78.0 151:67.0 155:199.0 156:37.0 157:561.0 158:253.0 159:156.0 161:109.0 163:27.0 164:195.0 165:79.0 167:221.0 168:55.0 169:375.0 170:61.0 171:341.0 172:133.0 173:13.0 175:186.0 176:149.0 177:73.0 178:67.0 179:106.0 182:70.0 183:479.0 184:88.0 185:221.0 186:24.0 193:6348.0 194:983.0 195:495.0 196:23.0 205:258.0 207:457.0 208:963.0 209:368.0 210:35.0 212:7.0 217:52.0 223:103.0 224:9.0 225:62.0 228:18.0 229:143.0 230:61.0 231:664.0 232:153.0 233:125.0 234:17.0 235:144.0 236:23.0 237:9.0 238:20.0 239:243.0 240:41.0 241:21.0 243:109.0 244:115.0 249:131.0 251:94.0 253:11.0 254:20.0 255:134.0 256:34.0 257:710.0 258:143.0 259:416.0 260:71.0 261:85.0 262:29.0 263:587.0 264:47.0 265:358.0 266:152.0 267:436.0 268:49.0 269:73.0 271:3.0 273:35.0 274:14.0 275:11.0 278:52.0 279:46.0 281:121.0 282:260.0 283:394.0 284:40.0 286:9.0 287:7.0 288:12.0 289:21.0 291:29.0 293:353.0 294:67.0 296:29.0 298:56.0 301:5.0 306:6.0 307:35.0 311:74.0 313:96.0 315:21.0 316:10.0 318:7.0 319:18.0 323:61.0 325:152.0 326:132.0 327:182.0 328:184.0 329:37.0 330:21.0 333:12.0 336:36.0 337:20.0 338:14.0 339:7.0 340:70.0 341:219.0 342:95.0 344:78.0 345:9.0 347:42.0 348:11.0 355:72.0 356:38.0 357:92.0 358:21.0 362:3.0 364:10.0 365:25.0 367:14.0 369:115.0 370:27.0 373:25.0 375:3.0 377:18.0 378:14.0 382:9.0 383:48.0 384:3.0 387:3.0 388:17.0 394:78.0 395:1270.0 396:416.0 397:158.0 398:60.0 399:29.0 400:68.0 401:236.0 403:22.0 413:68.0 414:21.0 415:129.0 416:75.0 417:98.0 419:7.0 422:19.0 426:5.0 427:53.0 428:58.0 429:59.0 430:59.0 432:7.0 434:9.0 435:1.0 441:14.0 443:7.0 445:33.0 447:19.0 449:3.0 457:27.0 459:7.0 464:66.0 466:20.0 474:40.0 475:7.0 476:10.0 477:34.0 479:19.0 483:10.0 484:42.0 485:1.0 486:17.0 488:5.0 489:28.0 490:48.0 491:26.0 492:35.0 493:25.0</t>
  </si>
  <si>
    <t>238320</t>
  </si>
  <si>
    <t>855550</t>
  </si>
  <si>
    <t>85:175.0 86:83.0 88:39.0 91:1018.0 92:24.0 95:1141.0 97:1855.0 99:21.0 101:264.0 103:1639.0 104:171.0 109:528.0 111:588.0 112:13.0 113:1.0 115:49.0 116:10.0 117:2099.0 122:16.0 123:294.0 126:4.0 129:2281.0 130:166.0 131:6081.0 132:1396.0 137:14.0 144:40.0 145:247.0 149:419.0 150:3.0 152:21.0 153:1.0 157:118.0 163:123.0 164:35.0 172:48.0 180:4.0 184:109.0 185:76.0 186:11.0 187:3356.0 188:426.0 195:47.0 198:5.0 201:29.0 204:475.0 207:51.0 211:8.0 213:10.0 215:40.0 217:188.0 218:24.0 226:56.0 229:63.0 234:9.0 237:13.0 238:1.0 243:34.0 246:42.0 257:18.0 258:36.0 259:26.0 261:9.0 264:12.0 271:55.0 273:27.0 281:14.0 282:56.0 283:782.0 284:284.0 285:75.0 287:7.0 288:14.0 290:8.0 291:17.0 292:6.0 293:16.0 297:11.0 299:14.0 300:14.0 305:68.0 307:70.0 310:58.0 311:15.0 312:30.0 314:3.0 315:8.0 319:186.0 320:54.0 322:24.0 328:12.0 329:36.0 331:113.0 339:239.0 340:123.0 341:94.0 345:39.0 348:3.0 349:12.0 353:14.0 355:138.0 356:14.0 358:9.0 359:11.0 361:65.0 362:31.0 365:32.0 366:19.0 367:12.0 369:152.0 370:74.0 373:17.0 374:33.0 387:14.0 392:4.0 402:10.0 404:5.0 408:1.0 409:39.0 412:9.0 415:39.0 421:25.0 430:16.0 431:4.0 432:12.0 438:10.0 442:16.0 443:10.0 455:4.0 456:2.0 458:3.0 460:2.0 462:5.0 465:8.0 475:2.0 480:5.0 481:25.0 482:9.0 500:8.0</t>
  </si>
  <si>
    <t>238291</t>
  </si>
  <si>
    <t>646709</t>
  </si>
  <si>
    <t>85:1251.0 86:355.0 87:34.0 89:3036.0 91:47.0 92:71.0 93:1242.0 94:60.0 97:138.0 98:392.0 99:1316.0 100:1744.0 101:1224.0 102:258.0 103:41249.0 104:3792.0 105:1839.0 106:176.0 110:1568.0 111:1381.0 112:192.0 113:228.0 114:1300.0 115:144.0 116:183.0 117:13581.0 118:840.0 119:354.0 120:96.0 121:689.0 122:503.0 123:427.0 124:79.0 125:472.0 126:61.0 128:3.0 129:28484.0 130:926.0 131:3894.0 132:333.0 133:2962.0 135:858.0 136:53.0 137:46.0 138:401.0 140:232.0 141:373.0 142:420.0 143:96.0 144:149.0 145:277.0 148:4016.0 149:20904.0 150:2147.0 151:545.0 152:218.0 153:128.0 154:279.0 157:3928.0 158:1010.0 159:294.0 160:13737.0 161:3161.0 162:1212.0 164:256.0 165:854.0 166:305.0 167:715.0 168:39.0 169:215.0 170:94.0 172:445.0 176:136.0 177:156.0 178:11.0 180:195.0 182:220.0 183:62.0 184:103.0 186:353.0 187:34.0 188:56.0 189:2428.0 190:796.0 191:3073.0 192:3035.0 193:557.0 194:4.0 195:145.0 196:90.0 198:73.0 201:873.0 202:160.0 203:327.0 205:57819.0 206:5114.0 207:1655.0 208:50.0 209:365.0 211:38.0 212:25.0 215:184.0 216:744.0 217:16655.0 218:2833.0 219:663.0 220:211.0 222:174.0 223:677.0 224:124.0 225:23.0 227:94.0 229:926.0 230:360.0 231:778.0 232:785.0 233:314.0 234:327.0 235:94.0 236:178.0 237:469.0 238:124.0 239:70.0 241:25.0 246:15.0 248:113.0 249:12.0 250:31.0 252:8.0 255:83.0 256:25.0 259:85.0 261:128.0 262:144.0 263:129.0 264:11277.0 265:2944.0 266:1095.0 267:106.0 268:141.0 269:165.0 270:206.0 271:7.0 274:346.0 275:63.0 276:198.0 277:757.0 278:577.0 279:2195.0 280:530.0 281:199.0 282:2.0 283:2.0 287:17.0 288:131.0 289:116.0 290:150.0 291:367.0 292:115.0 293:105.0 294:122.0 295:74.0 297:1.0 299:1.0 300:66.0 301:29.0 302:200.0 304:132.0 305:220.0 306:198.0 307:201.0 308:165.0 310:18.0 314:59.0 315:44.0 317:47.0 319:10121.0 320:2557.0 321:1977.0 322:781.0 323:232.0 324:67.0 333:148.0 334:111.0 336:13.0 338:7.0 339:8.0 340:45.0 341:2.0 342:33.0 343:122.0 344:198.0 346:103.0 349:21.0 351:29.0 353:3.0 356:2.0 357:62.0 358:40.0 359:125.0 361:87.0 364:61.0 365:35.0 366:47.0 367:47.0 369:2.0 372:1.0 374:66.0 375:48.0 376:147.0 378:2.0 382:77.0 383:1.0 384:3.0 387:1.0 389:22.0 390:27.0 391:48.0 397:4.0 403:35.0 404:1.0 405:37.0 419:2.0 423:3.0 424:3.0 430:5.0 435:115.0 437:11.0 438:2.0 439:2.0 444:1.0 447:2.0 448:54.0 450:18.0 464:13.0 474:1.0 476:9.0 482:11.0 499:12.0 500:5.0</t>
  </si>
  <si>
    <t>234677</t>
  </si>
  <si>
    <t>700264</t>
  </si>
  <si>
    <t>85:82.0 90:26.0 92:124.0 93:267.0 94:337.0 95:30.0 96:663.0 99:127.0 100:132.0 101:255.0 103:315.0 108:146.0 109:165.0 110:71.0 112:212.0 113:489.0 115:148.0 117:792.0 118:71.0 120:24.0 121:26.0 122:18.0 124:159.0 125:15.0 128:268.0 129:1297.0 131:303.0 132:241.0 133:416.0 134:114.0 136:26.0 139:37.0 140:71.0 141:67.0 142:138.0 143:151.0 145:344.0 147:1045.0 150:57.0 151:124.0 153:23.0 154:108.0 156:314.0 157:459.0 164:8.0 165:29.0 166:155.0 167:34.0 168:81.0 169:1106.0 171:164.0 172:78.0 173:81.0 180:18.0 182:77.0 183:101.0 184:319.0 185:170.0 186:45.0 187:246.0 188:78.0 191:70.0 194:64.0 196:123.0 198:21.0 200:112.0 211:967.0 212:203.0 213:122.0 215:189.0 216:148.0 217:248.0 218:1.0 219:66.0 226:25.0 227:301.0 228:174.0 229:178.0 230:104.0 231:249.0 232:47.0 233:6.0 239:23.0 243:2645.0 244:637.0 245:139.0 246:10.0 248:219.0 249:20.0 255:18.0 257:83.0 258:1183.0 259:583.0 260:274.0 261:18.0 264:1.0 270:1.0 271:32.0 272:75.0 274:22.0 276:4.0 277:38.0 284:23.0 285:53.0 286:13.0 288:10.0 289:2.0 290:1.0 292:62.0 297:177.0 298:54.0 299:855.0 300:186.0 301:38.0 303:55.0 305:8.0 306:7.0 307:129.0 308:4.0 311:33.0 313:171.0 314:65.0 315:633.0 316:127.0 317:38.0 318:163.0 319:58.0 320:1.0 322:1.0 323:2.0 326:609.0 327:197.0 331:8.0 333:8.0 334:1.0 335:15.0 336:5.0 340:3.0 341:2.0 342:76.0 343:4.0 344:152.0 345:132.0 346:29.0 348:2.0 360:5.0 362:5.0 367:9.0 373:13.0 374:9.0 375:2.0 376:21.0 377:22.0 378:7.0 379:1.0 380:5.0 381:1.0 392:12.0 393:991.0 394:391.0 395:209.0 396:70.0 402:10.0 403:1.0 411:52.0 419:8.0 430:8.0 447:3.0 475:1.0 479:1.0 481:7.0 486:2.0</t>
  </si>
  <si>
    <t>234558</t>
  </si>
  <si>
    <t>597472</t>
  </si>
  <si>
    <t>266</t>
  </si>
  <si>
    <t>92:5.0 93:264.0 95:3.0 100:88.0 103:1178.0 105:64.0 107:371.0 112:242.0 117:964.0 119:323.0 121:1021.0 122:8.0 123:393.0 124:25.0 125:13.0 131:100.0 133:2287.0 135:2022.0 136:195.0 137:480.0 144:91.0 146:17.0 151:329.0 155:1258.0 156:749.0 165:54.0 166:1.0 168:11.0 173:135.0 177:54.0 178:874.0 179:508.0 180:170.0 181:441.0 182:11.0 184:246.0 187:273.0 190:212.0 192:3.0 193:418.0 194:135.0 195:1099.0 196:305.0 198:15.0 202:152.0 209:108.0 210:99.0 211:718.0 214:106.0 216:111.0 225:239.0 228:69.0 235:75.0 236:106.0 238:33.0 240:2.0 244:81.0 245:40.0 249:64.0 250:119.0 252:533.0 253:5.0 254:10.0 255:11.0 256:54.0 260:4.0 263:184.0 264:197.0 266:13782.0 267:2650.0 268:1531.0 269:139.0 270:619.0 274:116.0 275:120.0 276:37.0 284:1.0 285:5.0 286:3.0 291:149.0 295:19.0 296:9.0 297:1.0 299:469.0 300:2.0 307:60.0 311:4.0 312:9.0 315:59.0 316:22.0 317:1.0 321:8.0 324:46.0 326:60.0 328:34.0 329:32.0 330:4.0 339:10.0 340:1694.0 341:476.0 342:80.0 345:17.0 354:1.0 356:7.0 357:34.0 359:23.0 360:35.0 365:4.0 366:47.0 368:979.0 369:270.0 370:97.0 373:15.0 375:2.0 379:9.0 387:3.0 388:35.0 389:17.0 390:26.0 393:10.0 395:3.0 400:16.0 411:6.0 419:14.0 420:26.0 431:1.0 432:3.0 465:7.0 467:6.0</t>
  </si>
  <si>
    <t>232017</t>
  </si>
  <si>
    <t>571888</t>
  </si>
  <si>
    <t>86:4216.0 87:1715.0 88:1389.0 89:8881.0 90:918.0 91:2248.0 92:357.0 93:1421.0 94:1263.0 95:313.0 96:4986.0 97:2461.0 99:914.0 100:5615.0 101:1873.0 102:27310.0 104:876.0 108:63.0 109:37.0 110:880.0 111:2783.0 112:1848.0 113:766.0 114:531.0 115:3032.0 116:1639.0 117:6873.0 118:1704.0 119:37.0 120:12.0 121:257.0 122:2128.0 123:494.0 124:569.0 125:2267.0 126:651.0 127:928.0 128:6250.0 129:874.0 130:136.0 131:246.0 132:490.0 133:2245.0 138:371.0 139:599.0 140:1215.0 141:4215.0 142:898.0 143:1542.0 144:566.0 145:308.0 146:129.0 147:15172.0 148:1210.0 149:413.0 150:731.0 151:1156.0 152:4293.0 153:5178.0 154:2119.0 155:11697.0 156:17357.0 157:923.0 159:449.0 164:721.0 165:2817.0 166:1702.0 167:4234.0 169:2292.0 170:831.0 171:79.0 172:776.0 173:2906.0 174:1049.0 176:654.0 178:397.0 179:732.0 180:370.0 181:668.0 182:398.0 183:2514.0 184:284.0 185:335.0 186:265.0 190:84.0 191:969.0 192:507.0 193:207.0 195:468.0 196:342.0 197:10871.0 198:1962.0 199:515.0 201:514.0 202:483.0 203:291.0 204:3649.0 205:3713.0 206:398.0 207:24.0 208:134.0 211:359.0 212:4693.0 213:584.0 214:131.0 215:582.0 224:60.0 225:67.0 226:167.0 227:32.0 228:425.0 229:58.0 231:141.0 234:301.0 235:247.0 237:24.0 238:99.0 239:681.0 240:449.0 241:403.0 242:2240.0 243:1097.0 244:723.0 245:77.0 246:222.0 247:70.0 249:324.0 250:131.0 252:4.0 253:259.0 255:1846.0 256:587.0 257:279.0 259:820.0 260:716.0 262:265.0 265:268.0 266:87.0 267:9.0 271:92.0 272:130.0 273:3064.0 274:663.0 275:384.0 279:4.0 281:44.0 282:125.0 283:66.0 284:30.0 285:33.0 286:215.0 287:293.0 288:172.0 289:7.0 290:1623.0 291:602.0 292:106.0 297:91.0 298:15.0 299:221.0 301:23.0 302:58.0 303:142.0 304:26.0 305:291.0 306:53.0 307:538.0 308:134.0 309:141.0 310:94.0 311:319.0 312:155.0 313:22.0 315:40.0 316:76.0 317:126.0 318:101.0 321:1006.0 322:178.0 323:128.0 324:4.0 326:18.0 329:27.0 330:96.0 331:43.0 332:22.0 333:12.0 334:40.0 335:1.0 338:9.0 339:629.0 340:250.0 341:162.0 342:30.0 343:100.0 344:131.0 345:3665.0 346:1311.0 347:542.0 350:20.0 351:21.0 352:1.0 354:263.0 355:134.0 356:47.0 358:357.0 359:84.0 363:106.0 364:67.0 365:7.0 371:1.0 373:60.0 374:41.0 375:9.0 376:96.0 377:92.0 379:56.0 380:37.0 381:33.0 384:1.0 386:6.0 388:4.0 389:5.0 392:53.0 405:45.0 406:38.0 415:4.0 420:18.0 423:9.0 424:6.0 425:28.0 427:2.0 434:54.0 435:694.0 436:445.0 437:203.0 438:4.0 444:11.0 445:2.0 450:2.0 451:43.0 452:15.0 453:5.0 454:22.0 455:10.0 456:2.0 459:4.0 462:15.0 465:1.0 466:5.0 475:18.0 480:6.0 483:14.0 484:1.0 485:14.0 488:2.0 491:10.0 495:15.0 497:1.0 499:4.0 500:2.0</t>
  </si>
  <si>
    <t>231945</t>
  </si>
  <si>
    <t>914942</t>
  </si>
  <si>
    <t>85:529.0 87:352.0 89:1741.0 90:340.0 93:77.0 95:126.0 97:4333.0 98:311.0 99:986.0 101:7847.0 102:1482.0 103:20641.0 104:1847.0 105:1033.0 109:397.0 111:545.0 113:812.0 114:253.0 115:3334.0 116:6206.0 117:6503.0 118:781.0 119:289.0 122:115.0 125:196.0 127:114.0 128:1745.0 129:16028.0 130:2240.0 131:6720.0 132:821.0 133:6354.0 134:15.0 135:388.0 136:33.0 138:20.0 139:89.0 140:157.0 141:734.0 142:91.0 143:2705.0 144:2265.0 145:716.0 147:22367.0 148:2820.0 149:2942.0 150:273.0 151:132.0 152:2.0 153:546.0 154:28.0 155:1131.0 156:215.0 157:4018.0 158:807.0 159:380.0 161:2980.0 162:343.0 163:372.0 164:129.0 167:9.0 168:27.0 169:8156.0 170:1187.0 171:800.0 172:135.0 173:221.0 174:32.0 175:358.0 181:45.0 182:42.0 183:467.0 185:192.0 186:254.0 187:80.0 188:16.0 189:2468.0 190:286.0 191:5250.0 192:422.0 193:31.0 195:34.0 198:193.0 199:285.0 201:159.0 202:47.0 203:1053.0 204:4051.0 205:1719.0 206:388.0 212:113.0 213:66.0 215:1203.0 216:179.0 217:17662.0 218:3643.0 219:1753.0 220:332.0 226:17.0 227:73.0 228:97.0 229:858.0 230:607.0 231:1112.0 232:320.0 233:312.0 234:80.0 238:22.0 240:21.0 241:99.0 242:63.0 243:3522.0 244:764.0 245:572.0 246:109.0 247:177.0 248:94.0 249:169.0 253:6.0 254:111.0 255:40.0 256:25.0 257:501.0 258:121.0 259:14717.0 260:3309.0 261:1439.0 262:121.0 263:36.0 264:22.0 265:33.0 268:103.0 271:2007.0 272:497.0 273:322.0 274:92.0 275:701.0 276:235.0 277:198.0 278:31.0 279:256.0 280:97.0 281:34.0 285:38.0 289:67.0 290:13.0 291:338.0 292:107.0 293:28.0 294:49.0 297:31.0 298:12.0 299:31.0 301:6.0 302:26.0 303:19.0 304:28.0 305:414.0 306:136.0 307:107.0 308:29.0 309:26.0 310:10.0 315:10.0 317:39.0 318:71.0 319:741.0 320:229.0 321:81.0 322:34.0 324:84.0 326:6.0 328:10.0 329:48.0 331:287.0 332:147.0 333:202.0 334:85.0 335:52.0 336:29.0 339:34.0 342:55.0 343:52.0 344:42.0 345:97.0 347:92.0 348:123.0 349:1094.0 350:402.0 351:113.0 352:3.0 353:33.0 356:18.0 357:34.0 359:1.0 360:374.0 361:8310.0 362:2962.0 363:1449.0 364:315.0 365:179.0 366:187.0 367:104.0 368:24.0 371:4.0 373:21.0 375:18.0 377:26.0 379:7.0 380:4.0 381:116.0 382:18.0 383:1.0 387:40.0 388:45.0 389:3.0 390:41.0 392:25.0 393:9.0 394:42.0 397:14.0 402:16.0 405:4.0 406:37.0 411:4.0 414:8.0 416:8.0 417:51.0 418:19.0 420:15.0 422:21.0 423:8.0 424:6.0 425:52.0 427:6.0 433:22.0 434:11.0 435:40.0 436:104.0 437:739.0 438:373.0 439:201.0 440:73.0 441:32.0 445:29.0 446:42.0 447:10.0 449:11.0 450:92.0 451:392.0 452:185.0 453:72.0 455:20.0 456:20.0 457:40.0 463:43.0 466:18.0 467:5.0 469:13.0 470:1.0 471:5.0 472:15.0 473:18.0 474:18.0 476:38.0 479:24.0 480:6.0 481:18.0 482:30.0 483:9.0 484:35.0 489:93.0 491:10.0 493:4.0 495:32.0 496:1.0 499:12.0 500:32.0</t>
  </si>
  <si>
    <t>231850</t>
  </si>
  <si>
    <t>878626</t>
  </si>
  <si>
    <t>122</t>
  </si>
  <si>
    <t>85:10060.0 86:1385.0 90:204.0 91:6771.0 92:872.0 93:13489.0 94:14299.0 95:16475.0 96:31579.0 97:52830.0 98:15347.0 99:2276.0 100:918.0 101:100.0 105:2520.0 106:1628.0 107:6293.0 108:10909.0 109:7248.0 110:19597.0 111:18443.0 112:9468.0 113:1551.0 114:620.0 115:422.0 116:123.0 117:260.0 118:87.0 119:2703.0 120:2155.0 121:2739.0 122:44516.0 123:11305.0 124:12190.0 125:6951.0 126:3209.0 127:45.0 128:270.0 129:548.0 133:896.0 134:2517.0 135:1527.0 136:31996.0 137:8807.0 138:8727.0 139:3422.0 140:1346.0 141:280.0 142:439.0 143:351.0 144:1.0 145:121.0 148:1869.0 150:11656.0 151:4540.0 152:6327.0 153:1962.0 154:940.0 156:163.0 158:53.0 160:195.0 161:509.0 162:902.0 163:367.0 164:7251.0 165:2382.0 166:4804.0 167:1128.0 168:684.0 169:276.0 170:25.0 171:162.0 172:69.0 175:281.0 176:366.0 178:5810.0 179:1474.0 180:3096.0 181:714.0 182:430.0 183:37.0 184:92.0 186:79.0 187:17.0 189:181.0 190:334.0 191:436.0 192:4454.0 193:1370.0 194:2230.0 195:581.0 196:263.0 202:54.0 204:51.0 205:65.0 206:3738.0 207:735.0 208:1421.0 209:84.0 215:19.0 216:96.0 218:130.0 220:3230.0 221:664.0 222:761.0 223:160.0 224:43.0 228:169.0 230:56.0 231:111.0 232:76.0 234:3089.0 235:1147.0 236:691.0 237:175.0 238:48.0 240:30.0 241:7.0 243:34.0 246:18.0 248:2833.0 249:1024.0 250:236.0 252:16.0 258:11.0 259:187.0 260:42.0 262:2591.0 263:832.0 264:399.0 268:75.0 274:66.0 275:69.0 276:3035.0 277:871.0 278:622.0 279:131.0 281:2.0 282:46.0 283:175.0 284:4.0 286:5.0 288:2.0 289:8.0 290:1779.0 291:544.0 292:63.0 293:72.0 294:71.0 295:32.0 296:24.0 298:6.0 301:1.0 302:23.0 304:427.0 305:179.0 308:2.0 310:1.0 311:33.0 312:12.0 313:48.0 314:19.0 318:260.0 319:1773.0 320:611.0 321:97.0 322:16.0 325:3.0 327:4.0 331:23.0 336:2.0 337:7.0 339:6.0 342:112.0 344:1.0 345:1.0 347:18.0 357:110.0 361:31.0 362:4.0 365:3.0 367:7.0 368:20.0 372:54.0 376:13.0 377:39.0 380:18.0 384:7.0 385:7.0 386:10.0 387:4.0 388:52.0 389:1.0 391:42.0 392:4.0 396:16.0 407:23.0 412:51.0 418:13.0 424:1.0 427:27.0 429:13.0 437:27.0 438:2.0 442:5.0 443:11.0 444:5.0 446:9.0 448:5.0 450:24.0 454:25.0 456:1.0 461:8.0 462:15.0 464:1.0 467:2.0 469:13.0 471:22.0 474:76.0 475:109.0 476:27.0 478:13.0 480:7.0 483:7.0 489:36.0 490:22.0 491:20.0 494:18.0 495:3.0 497:3.0 500:4.0</t>
  </si>
  <si>
    <t>231657</t>
  </si>
  <si>
    <t>286430</t>
  </si>
  <si>
    <t>85:4137.0 86:2640.0 87:774.0 88:2861.0 89:2413.0 90:620.0 93:1415.0 94:1220.0 95:11260.0 96:1824.0 97:421.0 98:14633.0 99:2747.0 101:4297.0 102:630.0 105:5466.0 106:409.0 108:166.0 110:95.0 111:333.0 112:1569.0 113:631.0 114:410.0 115:818.0 116:7222.0 117:72887.0 118:6781.0 119:3190.0 121:24.0 122:11.0 123:18.0 124:630.0 125:234.0 126:558.0 127:924.0 128:771.0 129:22581.0 130:15088.0 131:26719.0 132:18426.0 133:2252.0 134:1526.0 135:45.0 136:456.0 137:28.0 138:217.0 139:971.0 140:488.0 141:202.0 143:4638.0 144:159.0 145:5579.0 146:2089.0 147:2249.0 148:65.0 152:130.0 156:26.0 157:654.0 158:218.0 159:2709.0 160:147.0 161:22.0 163:43.0 164:6.0 167:131.0 169:67.0 170:223.0 171:26.0 173:205.0 179:3.0 181:11.0 183:3.0 185:273.0 187:46260.0 188:6893.0 189:1951.0 190:89.0 191:61.0 192:10.0 193:65.0 194:10.0 195:33.0 196:2.0 197:8.0 200:231.0 201:12.0 202:219.0 203:21.0 204:113.0 207:59.0 208:13.0 209:15.0 210:6.0 211:41.0 212:11.0 213:3.0 214:28.0 215:79.0 218:43.0 223:4.0 225:1.0 228:4.0 229:10.0 234:154.0 241:122.0 242:20.0 243:13.0 244:1.0 249:20.0 250:11.0 251:96.0 253:9.0 254:6.0 255:9.0 256:9.0 258:2.0 265:35.0 267:399.0 268:312.0 269:73.0 270:15.0 271:8.0 272:2.0 273:1.0 274:7.0 280:3.0 282:12.0 283:35.0 284:11.0 285:21.0 286:19.0 287:4.0 288:2.0 292:59.0 309:27.0 313:8.0 314:14.0 315:18.0 316:9.0 325:3.0 326:3.0 327:27.0 328:13.0 333:52.0 336:4.0 338:20.0 340:19.0 354:1.0 355:360.0 356:147.0 357:39.0 358:8.0 361:17.0 366:20.0 373:2.0 375:1.0 376:10.0 388:15.0 395:16.0 397:12.0 404:1.0 408:21.0 411:4.0 417:4.0 420:5.0 423:15.0 424:9.0 427:31.0 429:24.0 438:2.0 442:8.0 443:6.0 445:24.0 447:6.0 455:22.0 457:9.0 458:3.0 462:1.0 463:9.0 464:23.0 466:9.0 472:19.0 478:24.0 484:12.0 485:14.0 489:8.0 493:22.0 495:2.0 498:15.0</t>
  </si>
  <si>
    <t>229959</t>
  </si>
  <si>
    <t>802004</t>
  </si>
  <si>
    <t>85:421.0 86:177.0 89:2898.0 90:329.0 91:356.0 92:53.0 94:147.0 98:316.0 99:648.0 100:335.0 101:952.0 102:379.0 103:7525.0 104:970.0 105:74.0 106:142.0 107:648.0 108:141.0 109:158.0 110:39.0 111:35.0 112:175.0 113:373.0 114:623.0 115:474.0 116:284.0 117:1911.0 118:108.0 119:262.0 123:32.0 124:147.0 126:190.0 128:171.0 129:1996.0 130:431.0 131:836.0 133:3125.0 134:923.0 135:533.0 136:70.0 137:187.0 138:64.0 139:126.0 140:125.0 141:97.0 142:2380.0 143:732.0 144:310.0 147:6821.0 148:1022.0 149:554.0 151:215.0 152:273.0 153:8.0 154:161.0 155:114.0 156:392.0 157:210.0 158:290.0 159:107.0 160:190.0 163:784.0 164:47.0 165:424.0 166:100.0 168:231.0 169:43.0 170:190.0 172:139.0 173:2842.0 174:407.0 175:283.0 177:114.0 178:2.0 179:63.0 180:278.0 181:194.0 182:57.0 183:98.0 185:55.0 186:105.0 189:558.0 190:251.0 191:801.0 192:317.0 193:512.0 194:55.0 195:427.0 196:273.0 197:73.0 198:83.0 199:109.0 200:93.0 201:53.0 202:9.0 203:9.0 204:108.0 205:680.0 206:120.0 207:3092.0 208:771.0 209:466.0 210:361.0 211:1071.0 212:145.0 213:133.0 214:105.0 215:62.0 216:32.0 217:2183.0 218:460.0 219:64.0 220:5.0 223:85.0 224:57.0 225:430.0 226:93.0 227:220.0 228:66.0 229:21.0 230:129.0 236:326.0 237:55.0 238:121.0 239:112.0 240:38.0 241:64.0 242:87.0 243:79.0 244:835.0 245:311.0 246:59.0 247:18.0 248:29.0 249:74.0 250:77.0 251:74.0 253:470.0 254:189.0 255:26.0 256:122.0 257:6.0 258:45.0 260:4.0 261:7.0 264:49.0 265:110.0 266:190.0 267:177.0 268:238.0 269:69.0 270:95.0 272:37.0 275:46.0 277:110.0 278:31.0 281:1215.0 282:389.0 283:232.0 284:116.0 285:48.0 286:198.0 287:121.0 288:40.0 290:9.0 291:29.0 293:18.0 294:18.0 295:20.0 296:5.0 298:90.0 299:2827.0 300:874.0 301:388.0 302:180.0 304:12.0 305:36.0 306:128.0 307:249.0 308:11.0 309:142.0 310:172.0 311:59.0 312:4.0 313:10.0 314:211.0 315:1966.0 316:570.0 317:277.0 318:130.0 319:129.0 320:4.0 322:15.0 323:7.0 324:18.0 325:258.0 326:101.0 327:310.0 328:61.0 329:59.0 330:34.0 331:1.0 332:8.0 340:43.0 341:623.0 342:220.0 343:153.0 344:58.0 347:6.0 351:11.0 353:35.0 354:399.0 355:140.0 356:28.0 362:2.0 368:19.0 369:102.0 371:32.0 372:24.0 373:71.0 374:75.0 375:54.0 376:39.0 377:16.0 380:10.0 381:11.0 382:6.0 384:54.0 385:27.0 386:415.0 387:3397.0 388:1387.0 389:786.0 390:217.0 391:44.0 392:58.0 393:24.0 394:6.0 396:48.0 400:48.0 401:12.0 403:21.0 406:21.0 407:74.0 408:37.0 409:12.0 413:6.0 414:321.0 415:178.0 416:87.0 417:23.0 422:22.0 425:4.0 429:119.0 430:62.0 431:9.0 432:20.0 434:16.0 440:7.0 452:14.0 459:3.0 460:6.0 461:29.0 462:20.0 463:13.0 471:6.0 484:64.0 485:41.0 486:3.0 489:18.0 496:4.0</t>
  </si>
  <si>
    <t>229954</t>
  </si>
  <si>
    <t>524436</t>
  </si>
  <si>
    <t>85:8181.0 86:4974.0 87:3526.0 88:632.0 89:1172.0 90:297.0 91:588.0 92:40.0 93:860.0 94:802.0 97:125.0 99:858.0 100:24977.0 101:4035.0 102:1866.0 103:5420.0 104:1111.0 105:1045.0 106:520.0 109:56.0 112:103.0 113:776.0 114:4927.0 115:1057.0 116:6522.0 117:3154.0 118:707.0 119:296.0 120:77.0 121:465.0 122:591.0 123:21.0 127:3.0 129:418.0 130:4161.0 131:12064.0 132:1911.0 133:3068.0 134:109.0 135:306.0 136:171.0 137:364.0 140:3529.0 141:759.0 142:260.0 143:162.0 144:35.0 146:751.0 147:88537.0 148:17758.0 149:9791.0 150:576.0 153:17.0 156:7615.0 157:7426.0 158:10011.0 159:1524.0 160:226.0 168:81.0 169:72.0 170:970.0 171:175.0 172:2698.0 173:422.0 174:3855.0 175:507.0 176:1438.0 177:1163.0 178:91.0 181:2.0 182:17.0 183:98.0 184:147.0 185:167.0 186:4309.0 187:899.0 188:14553.0 189:2347.0 190:1236.0 191:10.0 192:7.0 194:131.0 195:108.0 196:64.0 198:48.0 199:32.0 200:93.0 205:41.0 211:490.0 212:30.0 213:3.0 214:105.0 215:138.0 216:114.0 218:16.0 220:22.0 222:104.0 226:49.0 228:103.0 229:5.0 230:353.0 232:375.0 233:215.0 236:151.0 237:32.0 238:539.0 240:26.0 242:5.0 248:216.0 249:19.0 252:1.0 254:129.0 255:7.0 256:80.0 257:108.0 258:178.0 259:45.0 260:2.0 262:4.0 263:3.0 264:3.0 267:17.0 272:89.0 278:100.0 283:31.0 287:17.0 288:1.0 289:6.0 292:25.0 297:227.0 298:23.0 299:124.0 300:87.0 305:2.0 306:47.0 309:3.0 310:347.0 311:96.0 312:81.0 314:54.0 315:12.0 316:10.0 317:13.0 323:5.0 325:10.0 326:60.0 327:2.0 329:232.0 330:24.0 331:51.0 333:5.0 334:2.0 336:1.0 341:168.0 342:43.0 343:23.0 346:165.0 347:29.0 361:23.0 369:1.0 376:3.0 379:4.0 382:2.0 393:3.0 403:10.0 406:2.0 424:87.0 425:28.0 426:8.0 466:3.0 478:4.0</t>
  </si>
  <si>
    <t>229947</t>
  </si>
  <si>
    <t>587765</t>
  </si>
  <si>
    <t>87:12111.0 88:1511.0 89:146.0 91:870.0 92:7.0 93:461.0 95:424.0 97:362.0 98:245.0 101:2134.0 102:116.0 103:535.0 104:61.0 105:501.0 106:7.0 107:414.0 108:370.0 109:272.0 110:192.0 111:759.0 112:393.0 113:1942.0 114:654.0 115:317.0 116:324.0 118:464.0 119:535.0 122:249.0 126:508.0 129:2337.0 131:1369.0 132:319.0 133:2026.0 134:4544.0 135:5.0 136:62.0 137:78.0 138:61.0 140:152.0 143:3093.0 144:406.0 145:1185.0 146:340.0 147:25725.0 148:987.0 149:469.0 150:91.0 151:11.0 157:765.0 158:565.0 159:85.0 162:29.0 169:375.0 170:123.0 171:139.0 173:188.0 174:5.0 175:257.0 179:12.0 180:83.0 181:89.0 182:60.0 183:70.0 184:1042.0 185:318.0 187:273.0 188:136.0 189:1307.0 190:505.0 193:79.0 195:46.0 196:60.0 198:87.0 199:929.0 200:381.0 201:55.0 203:161.0 204:2070.0 205:252.0 206:11.0 213:117.0 215:130.0 216:114.0 217:9828.0 218:1758.0 219:846.0 220:16.0 224:15.0 226:22.0 229:39.0 230:41.0 231:200.0 232:152.0 234:76.0 236:30.0 237:4.0 238:256.0 240:90.0 241:27.0 242:273.0 243:3.0 245:179.0 246:47.0 248:190.0 249:12.0 250:16.0 252:127.0 253:50.0 255:6.0 259:170.0 260:21.0 261:44.0 262:10.0 263:68.0 264:3.0 266:18.0 268:1.0 269:3.0 270:33.0 273:23.0 274:8.0 276:14.0 280:12.0 285:88.0 286:69.0 287:9.0 288:122.0 289:26.0 291:174.0 293:16.0 296:243.0 297:6.0 298:1.0 299:16.0 300:62.0 301:20.0 302:21.0 303:40.0 305:614.0 306:693.0 307:209.0 308:79.0 312:9.0 319:2.0 320:2.0 326:7.0 327:250.0 328:62.0 331:58.0 333:11.0 335:21.0 336:1.0 340:20.0 342:15.0 348:89.0 349:36.0 350:19.0 355:2.0 361:10.0 362:6.0 373:7.0 374:2.0 377:5.0 378:11.0 382:29.0 386:17.0 392:361.0 393:80.0 451:24.0 482:9.0</t>
  </si>
  <si>
    <t>229277</t>
  </si>
  <si>
    <t>1018461</t>
  </si>
  <si>
    <t>105</t>
  </si>
  <si>
    <t>85:3125.0 87:670.0 88:599.0 89:4045.0 90:882.0 91:24626.0 92:4107.0 93:5770.0 94:1225.0 95:329.0 97:65.0 99:1468.0 101:4011.0 102:403.0 103:15699.0 104:2205.0 105:42600.0 106:3933.0 110:9.0 111:1641.0 112:199.0 113:305.0 114:11.0 115:1787.0 116:1787.0 117:8895.0 118:1716.0 119:44595.0 120:12511.0 121:5224.0 122:479.0 124:63.0 125:67.0 127:692.0 129:5784.0 130:1439.0 131:2185.0 132:829.0 133:5905.0 134:259.0 135:1136.0 136:18.0 138:24.0 141:174.0 142:1117.0 143:2883.0 144:395.0 145:2706.0 146:480.0 147:11085.0 148:1504.0 149:1848.0 150:95.0 151:218.0 155:1442.0 156:284.0 157:1662.0 158:1731.0 159:1176.0 160:233.0 161:364.0 162:65.0 163:7924.0 164:1105.0 165:85.0 166:16.0 167:546.0 170:163.0 171:4050.0 172:625.0 173:451.0 174:227.0 175:428.0 176:3423.0 177:871.0 179:129.0 181:232.0 183:542.0 185:1282.0 186:393.0 187:387.0 188:892.0 189:1743.0 190:311.0 191:944.0 192:223.0 193:20383.0 194:3463.0 195:1144.0 196:139.0 197:86.0 199:145.0 200:239.0 201:68.0 202:47.0 203:279.0 204:2407.0 205:4366.0 206:2660.0 207:1231.0 208:869.0 211:20.0 213:85.0 214:86.0 217:2043.0 218:486.0 219:677.0 220:174.0 223:497.0 224:80.0 225:80.0 227:106.0 229:125.0 230:590.0 231:635.0 232:119.0 233:171.0 235:172.0 237:75.0 238:30.0 240:35.0 241:119.0 242:18.0 243:111.0 244:96.0 245:158.0 246:87.0 247:1083.0 248:337.0 249:66.0 250:88.0 251:167.0 252:20.0 253:144.0 254:78.0 257:121.0 258:22.0 260:16.0 261:38.0 263:112.0 264:190.0 265:60.0 266:71.0 267:182.0 268:22.0 270:1.0 271:92.0 273:358.0 274:118.0 275:265.0 278:175.0 279:89.0 280:81.0 281:155.0 283:169.0 284:20.0 286:96.0 287:100.0 289:66.0 290:22.0 291:11.0 292:68.0 293:2.0 294:20.0 296:53.0 298:16.0 299:1081.0 300:370.0 301:86.0 303:52.0 306:51.0 307:349.0 308:2.0 309:285.0 313:75.0 314:169.0 319:48.0 320:55.0 323:6.0 325:642.0 327:26.0 328:219.0 329:47.0 333:19.0 335:99.0 336:41.0 337:75.0 342:96.0 347:11.0 349:62.0 352:66.0 353:39.0 354:7.0 355:264.0 359:3.0 361:86.0 362:49.0 363:2.0 365:29.0 366:23.0 367:47.0 368:81.0 371:6.0 373:54.0 374:81.0 377:8.0 379:12.0 381:7.0 391:15.0 393:1.0 395:96.0 396:18.0 398:32.0 408:31.0 409:130.0 410:83.0 414:14.0 415:198.0 423:16.0 426:6.0 427:195.0 428:52.0 429:32.0 431:61.0 437:14.0 439:5.0 440:7.0 441:36.0 443:34.0 447:29.0 452:1.0 460:22.0 463:56.0 464:27.0 470:8.0 487:11.0 489:16.0 490:13.0 491:44.0</t>
  </si>
  <si>
    <t>229201</t>
  </si>
  <si>
    <t>693537</t>
  </si>
  <si>
    <t>85:181.0 86:350.0 89:242.0 91:1.0 94:140.0 95:84.0 96:1.0 97:139.0 98:370.0 99:83.0 100:803.0 101:1497.0 102:228.0 103:802.0 104:63.0 105:1.0 109:88.0 111:175.0 112:107.0 113:247.0 115:119.0 116:748.0 117:108.0 118:180.0 119:2.0 121:32.0 122:20.0 123:311.0 124:40.0 126:229.0 128:475.0 129:1133.0 130:73.0 131:530.0 133:745.0 134:251.0 137:64.0 138:20.0 140:11.0 141:29.0 142:157.0 143:363.0 144:511.0 147:1478.0 152:10.0 153:130.0 154:55.0 155:145.0 156:144.0 157:173.0 158:164.0 167:44.0 168:266.0 169:50.0 170:261.0 171:3684.0 172:492.0 173:246.0 174:61.0 175:206.0 185:182.0 186:69.0 188:39.0 189:193.0 190:1.0 191:13.0 192:2.0 195:289.0 196:189.0 197:250.0 198:47.0 199:55.0 201:218.0 202:20.0 203:1.0 204:202.0 205:34.0 210:99.0 211:46.0 212:91.0 213:1228.0 214:262.0 215:242.0 216:22.0 217:547.0 218:153.0 224:30.0 228:53.0 229:113.0 230:4052.0 231:854.0 232:339.0 233:22.0 234:14.0 235:24.0 236:6.0 237:8.0 238:257.0 241:5.0 242:26.0 244:195.0 246:4.0 248:1.0 257:11.0 258:5.0 261:1.0 268:41.0 269:126.0 270:22.0 284:13.0 285:184.0 286:36.0 287:66.0 288:1.0 291:114.0 292:214.0 293:84.0 294:2.0 299:16.0 300:44.0 302:23.0 303:6.0 305:254.0 306:26.0 307:44.0 314:11.0 317:3.0 319:43.0 320:35.0 326:35.0 327:545.0 328:215.0 329:36.0 331:37.0 332:14.0 333:290.0 334:43.0 335:24.0 337:96.0 338:24.0 340:15.0 347:4.0 352:23.0 353:12.0 355:19.0 358:88.0 359:125.0 360:16.0 361:43.0 373:3.0 375:15.0 390:3.0 393:23.0 394:4.0 403:20.0 405:37.0 407:43.0 430:17.0 433:91.0 434:29.0 440:1.0 446:8.0 447:141.0 448:126.0 449:5.0 450:20.0 465:5.0</t>
  </si>
  <si>
    <t>229155</t>
  </si>
  <si>
    <t>333393</t>
  </si>
  <si>
    <t>85:1596.0 86:11173.0 87:8004.0 88:17923.0 89:6446.0 90:1069.0 91:663.0 92:20.0 94:189.0 95:221.0 96:7493.0 97:787.0 98:4719.0 99:942.0 100:10603.0 101:1141.0 102:1834.0 103:149.0 105:3.0 106:38.0 107:2800.0 108:273.0 110:1305.0 111:556.0 112:468.0 113:481.0 114:6428.0 115:51.0 116:6458.0 117:7846.0 118:775.0 119:1022.0 121:314.0 122:363.0 123:192.0 124:326.0 125:7.0 126:524.0 128:1744.0 129:178.0 130:154451.0 131:13039.0 132:35167.0 133:2527.0 134:1104.0 136:738.0 143:34.0 144:4705.0 145:1284.0 146:1416.0 147:1000.0 148:346.0 150:99.0 152:246.0 153:67.0 154:671.0 155:134.0 156:419.0 157:217.0 158:1053.0 159:889.0 160:2126.0 161:239.0 162:33.0 163:15.0 164:15.0 166:32.0 168:142.0 169:21.0 170:136.0 171:128.0 172:8187.0 173:1549.0 174:86257.0 175:11868.0 176:3975.0 177:414.0 179:86.0 180:75.0 182:485.0 183:41.0 185:437.0 186:364.0 188:594.0 189:108.0 196:375.0 197:510.0 198:259.0 200:312.0 201:119.0 202:41.0 205:4.0 206:4.0 214:25.0 216:16548.0 217:2566.0 218:1284.0 219:105.0 221:6.0 222:3.0 224:18.0 231:666.0 232:121.0 233:32.0 235:6.0 236:5.0 242:2.0 245:4.0 254:2.0 256:13.0 258:12.0 259:1.0 264:2.0 265:5.0 266:2.0 278:1.0 279:7.0 280:1.0 281:6.0 296:5.0 313:5.0 327:6.0 328:11.0 380:1.0 386:1.0 412:1.0 423:10.0 490:32.0</t>
  </si>
  <si>
    <t>229010</t>
  </si>
  <si>
    <t>647083</t>
  </si>
  <si>
    <t>86:63.0 92:64.0 97:2089.0 99:149.0 101:1493.0 103:16703.0 104:845.0 105:191.0 107:4150.0 109:328.0 110:1206.0 111:151.0 114:909.0 115:161.0 116:337.0 117:4423.0 119:1303.0 123:407.0 125:168.0 127:1049.0 128:315.0 129:4383.0 131:2990.0 134:335.0 136:206.0 137:81.0 139:65.0 140:87.0 142:124.0 143:2856.0 144:383.0 145:768.0 147:28818.0 148:1076.0 151:87.0 152:255.0 153:455.0 154:218.0 155:511.0 156:563.0 158:17.0 159:244.0 162:18.0 164:176.0 168:130.0 169:1300.0 170:493.0 171:587.0 172:518.0 173:234.0 174:136.0 175:394.0 177:525.0 178:53.0 182:893.0 184:884.0 185:362.0 187:149.0 189:6907.0 190:1089.0 191:2271.0 192:792.0 193:706.0 195:33.0 197:976.0 198:98.0 202:128.0 203:191.0 204:2557.0 205:3497.0 206:675.0 208:3.0 211:71.0 212:72.0 213:33.0 214:22.0 215:685.0 216:209.0 217:28307.0 218:4869.0 219:4176.0 220:277.0 221:692.0 222:47.0 226:13.0 227:670.0 228:222.0 230:1640.0 231:163.0 233:159.0 234:59.0 241:401.0 242:139.0 243:2192.0 244:1677.0 245:1807.0 246:412.0 247:531.0 248:57.0 254:60.0 259:237.0 260:31.0 261:48.0 264:2.0 265:313.0 270:1.0 271:737.0 272:262.0 273:91.0 274:88.0 277:104.0 280:53.0 290:105.0 292:14.0 293:148.0 305:2439.0 306:533.0 307:917.0 308:149.0 309:321.0 310:31.0 317:172.0 318:245.0 319:270.0 321:26.0 322:130.0 331:460.0 333:817.0 334:1602.0 335:1015.0 336:408.0 337:168.0 347:7.0 348:698.0 349:84.0 350:63.0 357:88.0 358:32.0 361:982.0 362:253.0 363:216.0 369:24.0 372:74.0 378:56.0 385:62.0 387:88.0 398:117.0 399:34.0 401:5.0 402:142.0 417:56.0 418:26.0 426:22.0 435:191.0 436:231.0 439:22.0 451:98.0 452:96.0 453:23.0 458:45.0 466:247.0 467:144.0 468:171.0 479:28.0 494:51.0 497:40.0</t>
  </si>
  <si>
    <t>228618</t>
  </si>
  <si>
    <t>266678</t>
  </si>
  <si>
    <t>85:14166.0 86:3371.0 87:19981.0 88:724.0 91:1814.0 92:515.0 94:4.0 95:807.0 96:2.0 97:2238.0 98:1120.0 101:258.0 104:931.0 106:891.0 107:1533.0 108:1037.0 110:3795.0 111:701.0 114:2170.0 115:1053.0 116:5271.0 117:308.0 118:64.0 120:1137.0 121:272.0 123:268.0 125:386.0 126:451.0 127:902.0 128:1052.0 129:444.0 130:5313.0 131:1193.0 132:112.0 134:9676.0 135:212.0 137:686.0 143:755.0 145:166.0 146:245.0 150:55.0 151:2185.0 152:151.0 154:45.0 155:122.0 156:128.0 160:35.0 162:50.0 164:63.0 167:68.0 168:329.0 171:98.0 172:172.0 173:185.0 177:23.0 179:4.0 181:61.0 183:33.0 185:852.0 186:652.0 187:291.0 189:798.0 190:16.0 191:78.0 193:9.0 195:227.0 199:1004.0 201:28.0 207:173.0 209:129.0 211:181.0 213:75.0 215:541.0 216:267.0 217:155.0 218:49.0 219:55.0 225:1707.0 226:252.0 227:732.0 228:80.0 233:61.0 235:19.0 236:58.0 240:128.0 241:18.0 242:110.0 248:230.0 249:123.0 251:23.0 253:190.0 254:50.0 255:31.0 257:21.0 267:368.0 268:49.0 269:342.0 270:139.0 271:19.0 273:62.0 275:37.0 284:83.0 285:2561.0 286:658.0 287:357.0 288:88.0 289:786.0 290:119.0 291:49.0 292:2.0 301:17.0 302:5.0 318:27.0 355:3.0 356:1.0 377:90.0 389:17.0 393:9.0 397:3.0 409:9.0 410:13.0 418:15.0 426:13.0 430:20.0 467:4.0 471:4.0 496:13.0</t>
  </si>
  <si>
    <t>228398</t>
  </si>
  <si>
    <t>826912</t>
  </si>
  <si>
    <t>265</t>
  </si>
  <si>
    <t>87:8186.0 88:3319.0 89:10093.0 90:1457.0 91:3237.0 92:439.0 93:1846.0 95:352.0 100:90.0 101:27202.0 102:6264.0 103:61675.0 104:61420.0 105:7701.0 106:327.0 107:419.0 108:127.0 109:60.0 112:36.0 114:15.0 116:24712.0 117:7845.0 118:3964.0 119:1702.0 120:144.0 121:14449.0 122:1117.0 123:197.0 124:35.0 126:2222.0 129:3397.0 130:964.0 131:526.0 132:3387.0 133:1965.0 134:4059.0 135:8391.0 136:1082.0 137:358.0 140:15575.0 141:1734.0 142:144.0 143:164.0 147:4303.0 148:1053.0 149:54247.0 150:5975.0 151:1107.0 152:73.0 157:38.0 159:31.0 163:471.0 168:6.0 170:15.0 172:80.0 177:1971.0 178:3409.0 179:2058.0 180:209.0 186:278.0 191:1045.0 192:242.0 193:73.0 194:26.0 199:318.0 201:102.0 202:105.0 203:706.0 204:35.0 206:633.0 211:54.0 216:138.0 218:1152.0 219:9.0 220:2.0 221:3006.0 222:1405.0 223:1849.0 224:230.0 225:78.0 228:28.0 229:30.0 234:262.0 235:142.0 236:51.0 237:112.0 244:20.0 251:265.0 252:82.0 253:31.0 255:7.0 256:75.0 264:555.0 265:80095.0 266:16140.0 267:4904.0 268:579.0 271:31.0 275:23.0 277:6.0 278:6.0 285:333.0 286:56.0 287:20.0 295:26.0 297:18.0 301:60.0 302:9.0 303:20.0 307:26.0 309:113.0 310:436.0 311:320.0 312:69.0 314:47.0 315:69.0 320:122.0 322:18.0 326:45.0 328:22.0 329:26.0 332:57.0 334:11.0 338:299.0 339:3687.0 340:1116.0 341:463.0 342:82.0 343:85.0 344:17.0 346:55.0 353:37.0 361:8.0 367:197.0 368:79.0 369:24.0 374:30.0 380:39.0 381:23.0 382:440.0 383:5544.0 384:1838.0 385:601.0 386:105.0 389:12.0 394:3.0 397:8.0 418:57.0 424:8.0 436:14.0 438:18.0 439:11.0 450:27.0 451:25.0 454:4.0 475:5.0 481:11.0 483:1.0 485:12.0 490:18.0</t>
  </si>
  <si>
    <t>228383</t>
  </si>
  <si>
    <t>911519</t>
  </si>
  <si>
    <t>87:7.0 88:524.0 89:1044.0 90:90.0 91:64049.0 92:4406.0 99:50.0 101:198.0 102:932.0 103:2429.0 104:74.0 105:11461.0 106:986.0 113:89.0 114:2.0 115:4083.0 116:284.0 126:199.0 127:2816.0 128:9458.0 129:34498.0 130:3652.0 134:4.0 138:89.0 139:480.0 141:204.0 147:74.0 148:27.0 150:45.0 151:134.0 152:1159.0 153:270.0 155:7.0 156:1.0 158:38.0 161:15.0 164:260.0 165:2201.0 166:380.0 167:20.0 169:3.0 171:3.0 173:1.0 176:338.0 177:83.0 178:3220.0 179:969.0 180:17.0 183:4.0 185:1.0 187:63.0 188:124.0 189:1352.0 190:862.0 191:1603.0 192:467.0 199:18.0 200:154.0 201:135.0 202:1492.0 203:998.0 204:975.0 205:673.0 206:8179.0 207:12189.0 208:2477.0 215:24.0 219:3.0 230:2.0 231:35.0 233:1.0 243:6.0 244:3.0 245:6.0 246:2.0 247:4.0 253:12.0 258:1.0 259:3.0 268:160.0 269:29.0 271:2.0 272:1.0 273:2.0 282:37.0 291:57.0 292:1.0 299:25.0 301:12.0 305:39.0 307:25.0 310:36.0 311:32.0 319:20.0 321:22.0 322:40.0 325:72.0 328:17.0 329:19.0 342:53.0 351:19.0 355:167.0 357:2.0 359:27.0 360:8.0 363:7.0 364:2.0 366:11.0 393:1.0 399:7.0 401:54.0 402:12.0 404:4.0 410:22.0 416:45.0 417:69.0 418:6.0 427:10.0 429:94.0 430:35.0 434:5.0 437:5.0 439:2.0 440:1.0 446:21.0 451:1.0 452:1.0 468:2.0 476:23.0 481:2.0 483:3.0 489:7.0 491:2.0</t>
  </si>
  <si>
    <t>341</t>
  </si>
  <si>
    <t>228179</t>
  </si>
  <si>
    <t>969823</t>
  </si>
  <si>
    <t>89:1497.0 90:7.0 91:5.0 100:217.0 101:435.0 102:373.0 103:11457.0 104:890.0 112:28.0 113:54.0 114:245.0 117:2386.0 124:15.0 129:3220.0 131:118.0 133:1449.0 134:288.0 136:242.0 140:106.0 141:98.0 142:874.0 143:834.0 146:33.0 147:4403.0 148:582.0 149:333.0 152:1.0 156:74.0 157:318.0 158:273.0 160:33.0 163:126.0 166:7.0 168:10.0 169:885.0 172:187.0 173:1234.0 176:43.0 178:1.0 181:9.0 183:62.0 189:963.0 190:252.0 191:854.0 192:174.0 198:104.0 201:218.0 203:175.0 204:5435.0 205:2091.0 206:335.0 207:827.0 208:29.0 214:21.0 215:44.0 217:8011.0 218:1833.0 219:522.0 220:4.0 221:3868.0 222:242.0 223:307.0 229:158.0 230:77.0 231:122.0 232:79.0 233:29.0 237:16.0 242:35.0 243:421.0 244:143.0 245:107.0 246:18.0 250:213.0 255:1.0 256:56.0 257:41.0 258:21.0 262:46.0 263:16.0 267:176.0 268:162.0 269:53.0 270:12.0 271:203.0 272:77.0 273:78.0 274:33.0 277:247.0 278:14.0 281:532.0 282:343.0 283:52.0 284:14.0 285:115.0 289:36.0 291:130.0 292:4.0 295:1238.0 296:415.0 297:197.0 298:14.0 300:35.0 305:142.0 306:43.0 307:2566.0 308:697.0 309:302.0 310:107.0 311:62.0 312:29.0 314:23.0 317:59.0 318:149.0 319:560.0 320:124.0 321:5.0 323:2.0 324:13.0 325:40.0 326:61.0 327:522.0 328:128.0 329:178.0 331:58.0 332:2.0 336:3.0 339:28.0 341:210.0 342:107.0 345:8.0 347:16.0 348:1.0 355:179.0 356:154.0 357:68.0 361:636.0 362:198.0 363:123.0 364:27.0 368:28.0 369:647.0 370:268.0 371:119.0 373:19.0 382:20.0 384:10.0 387:116.0 388:4.0 400:3.0 401:223.0 403:50.0 413:18.0 414:32.0 416:130.0 417:65.0 418:42.0 419:13.0 429:187.0 430:139.0 431:27.0 434:17.0 443:10.0 445:35.0 447:19.0 448:11.0 451:9.0 461:41.0 462:23.0 463:72.0 474:36.0 476:54.0 480:38.0 481:27.0 491:62.0 492:14.0 495:5.0 500:23.0</t>
  </si>
  <si>
    <t>228135</t>
  </si>
  <si>
    <t>491480</t>
  </si>
  <si>
    <t>85:5120.0 86:11317.0 87:274659.0 88:12619.0 89:11799.0 90:247.0 91:6413.0 92:2297.0 93:5975.0 94:2344.0 95:6572.0 96:3772.0 97:11409.0 98:5370.0 99:2606.0 100:10978.0 101:16138.0 102:31136.0 103:86633.0 104:11059.0 105:3261.0 106:2572.0 107:14960.0 108:3733.0 109:3430.0 110:6499.0 111:3894.0 112:1690.0 113:604.0 114:1454.0 115:11597.0 116:2598.0 117:49351.0 118:5240.0 119:6752.0 120:449.0 121:782.0 122:1027.0 123:365.0 125:762.0 127:12055.0 128:12824.0 129:18060.0 130:27777.0 131:14732.0 132:6729.0 133:39814.0 134:8616.0 135:2545.0 136:440.0 138:1008.0 139:648.0 140:1250.0 141:1606.0 142:11817.0 143:34921.0 147:150455.0 148:25179.0 149:12717.0 150:1085.0 151:1010.0 153:1068.0 154:603.0 155:830.0 156:3619.0 157:6676.0 158:1897.0 159:1543.0 160:1486.0 161:2098.0 162:368.0 163:1308.0 164:249.0 166:198.0 168:135.0 169:9959.0 170:31475.0 171:18995.0 172:2562.0 173:1051.0 174:44277.0 175:14812.0 176:2810.0 177:6231.0 178:787.0 179:119.0 182:196.0 183:7154.0 184:4848.0 185:4311.0 186:432.0 188:1408.0 189:6948.0 190:1517.0 191:1441.0 192:114.0 195:8.0 197:1518.0 198:881.0 199:629.0 200:529.0 201:1489.0 202:1408.0 203:2375.0 204:4067.0 205:22255.0 206:4219.0 207:2190.0 211:305.0 214:1597.0 216:1137.0 217:18573.0 218:3908.0 219:1918.0 220:25083.0 221:8772.0 222:2617.0 226:419.0 227:528.0 228:571.0 229:1408.0 230:5857.0 231:3640.0 232:1431.0 233:493.0 234:68114.0 235:15556.0 236:5390.0 237:107.0 242:18.0 243:274.0 244:272.0 245:2906.0 246:1828.0 247:768.0 248:204.0 249:207.0 253:176.0 255:2.0 256:111.0 257:355.0 258:1903.0 259:14796.0 260:44260.0 261:9416.0 262:4253.0 263:3001.0 264:701.0 271:37.0 273:182.0 274:51.0 275:177.0 276:7.0 277:775.0 278:359.0 281:138.0 284:58.0 285:1.0 286:194.0 289:12.0 290:101.0 291:3377.0 292:33299.0 293:9317.0 294:4443.0 297:12.0 300:415.0 301:236.0 302:181.0 303:93.0 304:5356.0 305:1776.0 306:132.0 307:360.0 314:28.0 317:97.0 318:167.0 319:2269.0 320:528.0 321:604.0 322:140.0 323:39.0 329:301.0 330:427.0 331:80.0 332:48.0 333:1.0 334:39.0 340:68.0 341:14.0 342:192.0 348:55.0 352:5.0 353:45.0 360:33.0 363:103.0 368:22.0 374:19.0 376:37.0 379:704.0 380:341.0 381:390.0 382:32.0 384:74.0 387:110.0 388:6.0 391:22.0 393:10.0 394:116.0 396:126.0 400:47.0 401:4.0 404:1.0 405:5.0 409:998.0 410:450.0 411:209.0 417:41.0 420:8.0 423:22.0 426:13.0 429:96.0 435:13.0 437:1.0 445:28.0 446:8.0 449:19.0 450:61.0 452:24.0 461:23.0 464:39.0 469:34.0 470:5.0 474:42.0 475:30.0 480:8.0 486:6.0 487:34.0 488:5.0 496:28.0</t>
  </si>
  <si>
    <t>147</t>
  </si>
  <si>
    <t>227973</t>
  </si>
  <si>
    <t>592391</t>
  </si>
  <si>
    <t>86:16.0 91:8.0 97:15.0 98:29.0 99:97.0 100:398.0 101:122.0 103:52.0 104:6.0 105:1.0 109:25.0 111:14.0 113:3.0 114:8.0 116:16.0 118:4.0 120:4.0 122:1.0 124:18.0 127:36.0 128:57.0 129:507.0 130:131.0 131:14.0 133:82.0 135:1.0 136:1.0 140:115.0 142:6.0 143:510.0 147:1637.0 148:9.0 151:17.0 153:4.0 155:84.0 157:96.0 158:161.0 160:13.0 167:2.0 169:161.0 175:1.0 180:2.0 184:50.0 188:8.0 189:168.0 190:201.0 191:1501.0 192:257.0 195:2.0 196:8.0 200:4.0 201:14.0 202:5.0 203:3.0 206:12.0 207:6.0 211:13.0 212:7.0 213:8.0 214:3.0 215:136.0 216:61.0 217:13312.0 218:3034.0 219:1305.0 220:172.0 224:3.0 225:3.0 227:21.0 230:81.0 231:8.0 232:307.0 233:37.0 236:8.0 238:2.0 241:6.0 242:2.0 243:114.0 244:37.0 245:50.0 247:16.0 248:5.0 251:2.0 253:2.0 257:73.0 258:2.0 259:16.0 269:7.0 273:55.0 275:1.0 278:2.0 283:1.0 285:20.0 287:1.0 291:235.0 292:22.0 294:3.0 295:2.0 299:14.0 303:1.0 305:524.0 306:159.0 307:22.0 308:2.0 311:44.0 312:2.0 315:7.0 316:4.0 318:3.0 319:18.0 321:3.0 322:4.0 326:1.0 331:22.0 332:2.0 334:1.0 341:4.0 348:4.0 349:13.0 351:6.0 354:1.0 358:4.0 359:6.0 363:7.0 370:3.0 371:4.0 372:1.0 379:19.0 380:11.0 381:2.0 386:1.0 387:1.0 388:5.0 390:1.0 392:1.0 402:5.0 405:13.0 407:2.0 419:1.0 420:6.0 428:10.0 433:2.0 442:13.0 450:67.0 451:11.0 452:14.0 461:1.0 464:1.0 483:1.0 485:1.0 487:4.0 488:1.0 490:1.0 493:2.0 496:5.0</t>
  </si>
  <si>
    <t>227832</t>
  </si>
  <si>
    <t>627964</t>
  </si>
  <si>
    <t>85:574.0 86:83.0 87:345.0 88:115.0 89:2206.0 90:158.0 93:26.0 96:453.0 97:12.0 98:118.0 99:1026.0 100:1399.0 101:1770.0 102:471.0 103:6075.0 104:292.0 105:1.0 106:122.0 108:302.0 110:68.0 111:463.0 112:233.0 113:997.0 114:405.0 115:1216.0 116:1994.0 117:5551.0 118:527.0 119:270.0 122:200.0 124:72.0 128:614.0 129:4487.0 130:1514.0 131:1174.0 132:62.0 133:3889.0 134:1235.0 136:311.0 138:136.0 140:79.0 141:229.0 142:379.0 143:513.0 144:587.0 145:98.0 146:110.0 147:11017.0 148:1629.0 149:1488.0 150:344.0 151:24.0 152:69.0 154:94.0 155:89.0 156:2776.0 157:1141.0 158:307.0 159:1309.0 160:788.0 163:305.0 168:821.0 169:314.0 170:1516.0 171:232.0 172:114.0 173:445.0 174:99.0 175:103.0 177:149.0 179:17.0 180:2.0 182:623.0 183:198.0 184:532.0 185:105.0 186:89.0 187:40.0 188:40.0 189:2281.0 190:347.0 191:2787.0 192:365.0 193:30.0 196:272.0 197:194.0 198:872.0 199:67.0 200:197.0 201:297.0 202:552.0 203:1480.0 204:4986.0 205:1467.0 206:490.0 208:98.0 210:190.0 211:98.0 212:68.0 214:51.0 215:746.0 216:167.0 217:8071.0 218:3173.0 219:948.0 220:133.0 221:152.0 224:321.0 225:27.0 226:2218.0 227:347.0 228:23.0 229:154.0 230:406.0 231:1657.0 232:323.0 233:1695.0 234:321.0 235:139.0 239:102.0 240:37.0 244:108.0 245:35.0 246:116.0 247:40.0 256:45.0 257:138.0 258:129.0 259:28.0 260:1.0 266:4.0 272:198.0 273:70.0 274:82.0 275:180.0 276:15.0 277:28.0 284:161.0 286:30.0 287:46.0 288:3.0 291:50.0 292:60.0 294:2.0 296:34.0 299:36.0 300:243.0 301:62.0 303:20.0 305:1.0 306:88.0 314:466.0 315:124.0 316:438.0 317:105.0 318:558.0 319:525.0 320:191.0 321:9.0 329:122.0 330:22.0 347:23.0 370:1.0 403:16.0 419:30.0 437:55.0 438:35.0 439:15.0</t>
  </si>
  <si>
    <t>227816</t>
  </si>
  <si>
    <t>426345</t>
  </si>
  <si>
    <t>270</t>
  </si>
  <si>
    <t>85:337.0 86:791.0 87:19.0 92:95.0 96:25.0 98:1257.0 99:245.0 100:1458.0 102:24.0 108:374.0 110:399.0 111:114.0 112:337.0 113:143.0 114:373.0 115:49.0 118:184.0 120:1393.0 124:86.0 126:253.0 127:1245.0 128:188.0 130:536.0 131:410.0 136:32.0 139:4.0 140:270.0 141:99.0 142:111.0 143:24.0 146:133.0 148:396.0 151:1.0 152:8.0 153:163.0 154:507.0 155:461.0 157:71.0 158:152.0 161:11.0 167:55.0 169:15.0 170:157.0 171:109.0 172:83.0 176:31.0 179:23.0 180:134.0 181:501.0 182:61.0 183:153.0 184:398.0 185:26.0 187:2.0 195:162.0 196:163.0 197:208.0 198:194.0 199:124.0 210:42.0 211:20.0 212:29.0 213:16.0 214:71.0 226:31.0 227:240.0 228:60.0 229:22.0 232:9.0 233:21.0 238:49.0 239:1074.0 240:209.0 241:188.0 242:66.0 253:272.0 254:167.0 255:2213.0 256:498.0 257:158.0 259:57.0 260:59.0 261:38.0 269:2363.0 270:2663.0 271:547.0 272:158.0 273:33.0 279:3.0 290:10.0 303:4.0 314:14.0 317:6.0 330:12.0 335:1.0 341:24.0 347:4.0 350:5.0 351:5.0 358:10.0 361:28.0 383:10.0 392:20.0 396:9.0 401:6.0 407:15.0 415:6.0 420:3.0 425:4.0 440:7.0 448:7.0 457:20.0 462:1.0 464:6.0 469:3.0 478:2.0 481:2.0 484:7.0 495:10.0 500:4.0</t>
  </si>
  <si>
    <t>227767</t>
  </si>
  <si>
    <t>523660</t>
  </si>
  <si>
    <t>211</t>
  </si>
  <si>
    <t>85:2167.0 87:2101.0 89:857.0 90:190.0 91:488.0 92:78.0 94:8.0 95:152.0 98:340.0 99:402.0 101:279.0 102:152.0 103:2343.0 104:118.0 105:564.0 106:505.0 107:1172.0 108:197.0 109:279.0 110:76.0 111:78.0 113:986.0 114:388.0 117:444.0 118:83.0 119:347.0 121:459.0 122:44.0 123:628.0 124:6.0 125:90.0 127:9.0 129:2167.0 130:944.0 131:131.0 132:355.0 133:3012.0 134:851.0 135:845.0 136:23.0 137:1576.0 138:105.0 139:169.0 140:948.0 141:315.0 142:48.0 143:235.0 147:34103.0 148:5907.0 149:2998.0 150:74.0 151:107.0 153:115.0 154:1.0 155:341.0 157:992.0 158:2155.0 162:1.0 165:114.0 167:208.0 170:166.0 171:241.0 174:45.0 179:115.0 181:790.0 182:142.0 183:407.0 184:206.0 186:811.0 187:78.0 188:1333.0 189:213.0 190:52.0 193:221.0 194:13.0 195:11.0 197:74.0 200:6.0 202:28.0 205:14.0 210:221.0 211:11470.0 212:1791.0 213:1076.0 214:373.0 216:440.0 217:153.0 218:35.0 225:487.0 226:136.0 227:1648.0 228:247.0 229:114.0 231:133.0 232:19.0 237:249.0 239:60.0 240:35.0 241:26.0 242:3.0 243:48.0 244:180.0 253:413.0 254:63.0 268:66.0 271:1.0 276:13.0 283:1610.0 284:276.0 285:130.0 286:2.0 287:29.0 292:38.0 294:5.0 299:55.0 303:61.0 304:111.0 305:52.0 306:4.0 332:341.0 333:169.0 334:11.0 383:1.0 389:1.0 398:5.0 411:1.0 412:1.0 414:11.0 434:1.0 436:5.0 465:7.0 468:5.0 479:4.0 485:1.0 495:7.0 499:11.0</t>
  </si>
  <si>
    <t>227658</t>
  </si>
  <si>
    <t>455037</t>
  </si>
  <si>
    <t>86:3858.0 87:546.0 88:110.0 89:724.0 90:247.0 91:514.0 94:22.0 95:15.0 96:138.0 98:96.0 99:782.0 100:1755.0 101:114.0 102:85.0 103:1368.0 104:288.0 105:792.0 106:155.0 107:1139.0 109:393.0 110:26.0 112:90.0 113:557.0 114:195.0 115:2119.0 116:364.0 117:687.0 119:723.0 121:1116.0 122:53.0 123:516.0 125:17.0 126:618.0 127:17.0 130:534.0 131:442.0 132:186.0 133:7898.0 134:790.0 135:4630.0 136:528.0 137:1928.0 138:274.0 139:212.0 141:37.0 142:21.0 143:3.0 145:3.0 146:401.0 147:3002.0 148:569.0 149:375.0 150:30.0 151:615.0 152:27.0 153:161.0 154:37.0 155:566.0 156:495.0 158:93.0 163:8.0 165:425.0 166:8.0 167:376.0 168:12.0 169:34.0 171:41.0 172:15.0 174:4086.0 175:590.0 176:102.0 177:172.0 179:210.0 180:18.0 181:1535.0 182:210.0 183:684.0 184:436.0 186:58.0 189:1.0 192:31.0 193:78.0 194:19.0 195:3347.0 196:413.0 197:449.0 198:42.0 199:9.0 209:1.0 210:682.0 211:3739.0 212:566.0 213:278.0 217:65.0 218:359.0 219:50.0 221:150.0 223:42.0 224:36.0 225:746.0 226:143.0 227:381.0 228:136.0 229:109.0 230:4.0 233:4.0 235:1.0 237:70.0 239:14.0 240:173.0 241:45.0 242:16.0 243:130.0 246:1.0 247:8.0 249:19.0 251:4.0 253:123.0 254:38.0 255:20.0 259:2.0 260:1.0 269:1256.0 270:238.0 271:123.0 281:1444.0 282:365.0 283:223.0 284:10.0 285:14.0 292:99.0 293:15.0 297:52.0 298:254.0 299:495.0 300:161.0 301:34.0 306:1.0 314:85.0 320:80.0 321:25.0 322:5.0 325:82.0 326:31.0 327:743.0 328:235.0 329:102.0 334:3.0 339:13.0 341:248.0 342:47.0 367:12.0 382:40.0 383:56.0 384:5.0 385:8.0 399:145.0 400:25.0 401:47.0 405:12.0 415:209.0 416:74.0 417:22.0 418:11.0 467:7.0 471:7.0</t>
  </si>
  <si>
    <t>227601</t>
  </si>
  <si>
    <t>284985</t>
  </si>
  <si>
    <t>85:117.0 86:597.0 87:312.0 96:7.0 98:451.0 99:192.0 100:634.0 101:121.0 102:8.0 103:33.0 105:3.0 106:254.0 108:2.0 109:134.0 114:2330.0 115:15.0 116:166.0 117:236.0 118:224.0 119:60.0 120:3.0 121:1.0 125:7.0 127:79.0 131:777.0 132:331.0 133:1518.0 134:661.0 135:7.0 143:75.0 144:49.0 145:5.0 146:203.0 147:11561.0 148:1350.0 149:792.0 150:5.0 159:23.0 160:184.0 161:10.0 162:1.0 164:3.0 165:5.0 166:3.0 172:111.0 173:13.0 175:5.0 176:6.0 177:37.0 178:6.0 179:33.0 180:4.0 181:1.0 184:281.0 188:3490.0 189:470.0 190:171.0 191:75.0 192:24.0 193:33.0 194:15.0 195:8.0 203:20.0 205:58.0 206:9.0 207:235.0 209:17.0 210:2.0 216:2073.0 217:286.0 218:58.0 221:5.0 222:1.0 223:1.0 230:58.0 231:233.0 232:22.0 233:2.0 235:15.0 236:3.0 237:2.0 247:8.0 248:3.0 249:55.0 250:13.0 251:16.0 252:11.0 253:1.0 261:2.0 264:2.0 266:13.0 267:6.0 268:9.0 269:1.0 277:1.0 279:5.0 280:10.0 282:21.0 283:61.0 284:10.0 285:6.0 331:4.0 353:3.0 369:48.0 370:4.0 371:11.0 372:8.0 373:1.0</t>
  </si>
  <si>
    <t>226330</t>
  </si>
  <si>
    <t>335994</t>
  </si>
  <si>
    <t>85:912.0 87:119.0 89:596.0 90:9.0 92:38.0 94:9.0 95:178.0 96:5.0 99:31.0 101:354.0 104:11.0 107:4564.0 108:384.0 110:3507.0 111:4.0 114:474.0 115:2408.0 116:1251.0 117:1492.0 120:227.0 121:35.0 122:110.0 123:24.0 124:15.0 126:44.0 127:811.0 130:4505.0 131:1140.0 132:561.0 133:220.0 134:5999.0 136:62.0 137:2.0 138:11.0 139:15.0 140:73.0 143:234.0 144:157.0 147:628.0 151:32.0 156:71.0 157:171.0 158:88.0 160:183.0 161:39.0 171:190.0 175:334.0 177:104.0 180:16.0 181:1.0 182:27.0 184:2918.0 185:537.0 186:164.0 189:1276.0 190:93.0 191:699.0 192:132.0 193:72.0 196:6.0 197:1.0 198:22.0 199:307.0 200:206.0 201:4.0 202:1.0 203:33.0 205:23.0 207:2349.0 208:174.0 209:135.0 213:15.0 216:4.0 217:78.0 225:1.0 228:1.0 229:21.0 233:35.0 247:1.0 248:555.0 249:2863.0 250:658.0 251:243.0 252:22.0 260:1.0 263:41.0 266:15.0 271:6.0 274:1.0 279:122.0 280:30.0 290:152.0 291:444.0 292:71.0 293:44.0 302:9.0 306:3.0 311:1.0 321:1.0 324:1.0 326:1.0 330:16.0 338:9.0 340:2.0 343:3.0 376:9.0 377:5.0 378:233.0 379:390.0 380:240.0 381:71.0 382:8.0 429:4.0 436:1.0 437:5.0 439:2.0 446:12.0 459:4.0 468:1.0</t>
  </si>
  <si>
    <t>226281</t>
  </si>
  <si>
    <t>362865</t>
  </si>
  <si>
    <t>86:814.0 87:518.0 88:201.0 90:324.0 91:177.0 94:164.0 95:277.0 99:280.0 104:79.0 105:10.0 106:479.0 107:1716.0 108:211.0 109:160.0 110:2139.0 118:223.0 119:252.0 122:38.0 124:7.0 126:418.0 127:642.0 130:6702.0 132:305.0 134:22088.0 135:56.0 136:266.0 138:104.0 139:43.0 140:246.0 147:237.0 151:134.0 152:23.0 155:17.0 158:137.0 160:148.0 161:16.0 163:64.0 164:28.0 165:1.0 166:10.0 167:6.0 171:16.0 174:77.0 175:22.0 178:7.0 179:17.0 181:60.0 183:69.0 184:308.0 185:52.0 188:3.0 189:18.0 190:7.0 192:27.0 193:1.0 194:38.0 196:260.0 199:172.0 200:27.0 207:5.0 211:3.0 212:167.0 213:55.0 215:2.0 219:6.0 220:24.0 221:3.0 223:58.0 224:80.0 225:34.0 226:2.0 229:48.0 230:105.0 232:3.0 237:98.0 239:51.0 243:15.0 248:3.0 249:2.0 251:143.0 252:39.0 253:86.0 254:31.0 257:4.0 258:173.0 261:1.0 262:1.0 267:147.0 269:16.0 271:1.0 274:5.0 275:9.0 289:3.0 290:3.0 294:1.0 295:86.0 296:2.0 297:11.0 299:24.0 302:2.0 310:3.0 311:45.0 313:11.0 320:8.0 324:36.0 325:881.0 326:332.0 327:237.0 329:13.0 330:8.0 339:5.0 340:94.0 341:2535.0 342:795.0 343:425.0 344:149.0 345:37.0 346:2.0 359:40.0 397:10.0 418:1.0 428:70.0 429:641.0 430:320.0 431:200.0 432:21.0 464:1.0 479:3.0 491:4.0</t>
  </si>
  <si>
    <t>226272</t>
  </si>
  <si>
    <t>563299</t>
  </si>
  <si>
    <t>294</t>
  </si>
  <si>
    <t>88:128.0 90:148.0 91:282.0 92:107.0 95:50.0 98:1169.0 101:7.0 104:6.0 106:148.0 107:5.0 108:127.0 110:236.0 118:453.0 121:67.0 123:5.0 124:296.0 126:3.0 127:5.0 128:56.0 129:251.0 135:1.0 136:42.0 138:54.0 140:162.0 142:30.0 143:6.0 144:13.0 151:80.0 152:4.0 156:1.0 160:112.0 161:229.0 163:129.0 167:26.0 168:19.0 170:1.0 172:36.0 174:345.0 179:135.0 184:130.0 185:2.0 188:66.0 191:8.0 195:79.0 196:13.0 199:2.0 203:78.0 209:29.0 213:105.0 215:2.0 217:38.0 223:61.0 224:2.0 236:3.0 237:219.0 238:118.0 243:209.0 244:24.0 245:7.0 263:22.0 267:198.0 268:13.0 279:1657.0 280:375.0 282:9.0 294:1376.0 295:324.0 296:79.0 309:86.0 310:39.0 319:29.0 326:73.0 465:3.0</t>
  </si>
  <si>
    <t>225923</t>
  </si>
  <si>
    <t>226752</t>
  </si>
  <si>
    <t>86:1149.0 88:1307.0 90:813.0 91:654.0 95:5.0 96:309.0 97:267.0 98:46.0 99:943.0 100:779.0 101:747.0 102:354.0 104:29.0 107:6181.0 108:693.0 109:49.0 110:1334.0 112:107.0 113:21488.0 114:2905.0 115:621.0 116:2646.0 117:5337.0 118:1052.0 119:473.0 122:2321.0 123:169.0 124:192.0 126:436.0 127:789.0 129:976.0 131:2253.0 132:1365.0 133:1866.0 134:11179.0 135:1172.0 136:983.0 137:142.0 138:96.0 140:988.0 141:46.0 144:293.0 145:624.0 147:20147.0 148:3375.0 149:973.0 151:84.0 152:3.0 153:5.0 155:543.0 156:213.0 161:459.0 162:212.0 163:796.0 164:22.0 165:26.0 167:51.0 172:817.0 173:4998.0 175:150.0 177:2330.0 178:287.0 179:32.0 180:115.0 184:708.0 185:375.0 197:51.0 199:337.0 200:216.0 201:7053.0 202:1146.0 203:284.0 204:21.0 205:4756.0 206:929.0 216:136.0 221:322.0 226:3.0 229:10.0 231:225.0 232:51.0 255:1618.0 256:296.0 257:46.0 258:104.0 270:882.0 271:72.0 298:9.0 308:1.0 458:3.0</t>
  </si>
  <si>
    <t>225885</t>
  </si>
  <si>
    <t>599549</t>
  </si>
  <si>
    <t>85:29.0 88:222.0 89:480.0 90:6.0 91:705.0 92:96.0 94:91.0 95:27.0 97:3.0 101:377.0 102:43.0 103:4309.0 104:422.0 105:754.0 107:651.0 109:238.0 110:382.0 111:26.0 115:245.0 116:585.0 117:2143.0 121:94.0 122:26.0 124:9.0 125:65.0 127:1.0 128:70.0 129:1573.0 131:160.0 133:1079.0 135:2034.0 136:192.0 137:147.0 139:65.0 140:156.0 141:83.0 142:112.0 143:228.0 145:82.0 146:74.0 151:554.0 152:474.0 153:177.0 154:33.0 155:485.0 156:69.0 157:185.0 158:84.0 161:1253.0 162:128.0 163:157.0 165:1013.0 166:28.0 168:123.0 169:55.0 174:33.0 176:4.0 177:869.0 178:271.0 179:118.0 180:13.0 181:215.0 182:59.0 183:6.0 184:551.0 186:184.0 187:5.0 188:55.0 189:63.0 190:70.0 191:12.0 195:3.0 196:8.0 203:24.0 204:133.0 205:140.0 206:11.0 214:16.0 217:3.0 218:256.0 219:146.0 231:92.0 232:22.0 235:36.0 239:122.0 240:57.0 241:1.0 242:47.0 243:15.0 244:62.0 245:107.0 246:169.0 247:6.0 248:32.0 255:2878.0 256:624.0 257:28.0 258:12.0 261:5.0 262:7.0 267:5.0 269:4.0 270:927.0 271:124.0 272:8.0 273:72.0 274:22.0 275:29.0 276:34.0 277:40.0 278:35.0 287:7.0 291:43.0 292:45.0 293:64.0 297:24.0 298:18.0 305:17.0 307:51.0 317:4.0 319:93.0 320:17.0 322:25.0 329:19.0 335:9.0 341:46.0 346:17.0 347:8.0 351:10.0 370:1.0 373:1.0 378:28.0 385:12.0 399:8.0 401:17.0 445:2.0 461:29.0 474:5.0</t>
  </si>
  <si>
    <t>225362</t>
  </si>
  <si>
    <t>707682</t>
  </si>
  <si>
    <t>87:133.0 88:421.0 91:104.0 98:237.0 103:566.0 108:1.0 109:211.0 110:1.0 117:520.0 118:78.0 124:75.0 128:50.0 129:376.0 136:115.0 143:90.0 152:69.0 157:162.0 166:36.0 168:114.0 171:117.0 173:75.0 174:3.0 185:26.0 186:80.0 188:78.0 193:20.0 199:13.0 200:83.0 202:13.0 203:1.0 205:538.0 206:77.0 214:18.0 216:95.0 217:468.0 218:294.0 219:153.0 220:41.0 229:18.0 231:39.0 233:104.0 238:22.0 240:81.0 241:37.0 242:3.0 243:2.0 244:28.0 245:100.0 247:124.0 248:66.0 251:6.0 252:4.0 257:18.0 258:5.0 261:3.0 268:9.0 271:9.0 275:36.0 277:63.0 288:2.0 291:253.0 292:357.0 293:31.0 304:8.0 305:23.0 306:26.0 307:61.0 310:3.0 311:146.0 312:23.0 316:27.0 318:24.0 319:1340.0 320:393.0 321:162.0 322:30.0 328:3.0 330:25.0 331:29.0 332:64.0 334:14.0 335:15.0 338:25.0 366:2.0 370:11.0 391:19.0 404:4.0 421:17.0 422:11.0 445:2.0 452:2.0 499:1.0</t>
  </si>
  <si>
    <t>225283</t>
  </si>
  <si>
    <t>530734</t>
  </si>
  <si>
    <t>86:4.0 87:1.0 88:1250.0 90:72.0 92:295.0 94:166.0 95:198.0 96:48.0 97:8.0 98:130.0 99:1283.0 100:1093.0 101:441.0 102:73.0 104:348.0 107:236.0 108:73.0 109:321.0 110:1890.0 111:318.0 112:190.0 114:668.0 115:215.0 116:261.0 117:1426.0 118:198.0 128:357.0 129:40.0 130:1714.0 131:526.0 134:2044.0 136:234.0 139:48.0 144:539.0 146:374.0 152:127.0 154:126.0 155:660.0 156:26.0 158:46.0 169:147.0 170:484.0 171:43.0 172:426.0 174:186.0 183:83.0 184:1083.0 185:213.0 186:45.0 190:31.0 198:327.0 199:323.0 200:75.0 201:48.0 211:71.0 212:6.0 213:4.0 214:138.0 215:67.0 216:49.0 218:21.0 220:3.0 221:1.0 226:184.0 227:37.0 243:151.0 245:12.0 246:72.0 247:8.0 252:6.0 256:2.0 257:83.0 258:14.0 259:44.0 260:83.0 261:45.0 262:4813.0 263:1148.0 264:447.0 265:119.0 266:12.0 270:11.0 272:39.0 273:14.0 276:22.0 279:8.0 282:17.0 290:5.0 291:12.0 297:40.0 298:17.0 301:281.0 302:54.0 308:6.0 316:3.0 320:7.0 331:8.0 332:2.0 335:1.0 337:6.0 338:4.0 339:7.0 348:1.0 349:27.0 350:166.0 351:65.0 352:5.0 355:11.0 359:10.0 366:4.0 368:8.0 378:8.0 386:11.0 389:11.0 391:25.0 401:6.0 402:5.0 406:17.0 408:12.0 411:18.0 418:9.0 427:1.0 429:5.0 449:2.0 453:3.0 456:9.0 458:6.0 459:2.0 460:13.0 465:2.0 470:10.0 474:6.0 476:9.0 483:6.0 488:10.0 496:3.0 498:7.0</t>
  </si>
  <si>
    <t>225262</t>
  </si>
  <si>
    <t>861804</t>
  </si>
  <si>
    <t>359</t>
  </si>
  <si>
    <t>88:7.0 91:1259.0 92:159.0 103:1145.0 104:159.0 105:8314.0 106:763.0 107:64.0 114:6.0 115:24.0 117:5.0 121:200.0 127:475.0 128:131.0 134:379.0 135:2306.0 136:144.0 139:83.0 141:18.0 142:4.0 147:576.0 148:14.0 152:257.0 153:103.0 161:11.0 163:8.0 164:146.0 165:857.0 166:188.0 167:132.0 177:106.0 178:462.0 179:426.0 180:32.0 181:173.0 182:67.0 188:1.0 189:17.0 190:51.0 191:163.0 193:48.0 194:72.0 195:185.0 197:18.0 202:105.0 205:58.0 206:1.0 207:633.0 208:173.0 209:526.0 210:65.0 213:2.0 215:77.0 217:149.0 219:8.0 221:1033.0 222:112.0 223:168.0 231:16.0 233:3.0 235:2.0 237:60.0 239:169.0 240:49.0 241:10.0 243:15.0 245:26.0 249:56.0 251:44.0 252:225.0 253:327.0 254:40.0 255:64.0 256:20.0 257:4.0 263:34.0 264:11.0 265:223.0 266:173.0 267:321.0 268:45.0 269:883.0 270:272.0 271:100.0 278:2.0 281:830.0 282:258.0 283:170.0 284:18.0 285:158.0 286:2.0 287:35.0 293:2.0 295:119.0 296:39.0 297:67.0 302:11.0 305:7.0 306:12.0 307:4.0 309:28.0 311:4.0 319:1.0 321:2.0 326:14.0 327:145.0 328:34.0 329:60.0 331:6.0 334:10.0 335:1.0 340:2.0 341:168.0 342:37.0 343:11.0 345:31.0 347:1.0 354:80.0 355:705.0 356:293.0 357:132.0 358:299.0 359:4271.0 360:2192.0 361:523.0 362:44.0 365:17.0 369:29.0 371:2.0 373:93.0 374:1399.0 375:790.0 376:299.0 377:77.0 398:1.0 399:53.0 401:65.0 403:6.0 405:3.0 414:30.0 415:47.0 429:266.0 430:9.0 431:94.0 437:3.0 444:10.0 461:22.0 469:2.0 470:4.0 475:23.0 476:16.0 489:12.0 490:13.0</t>
  </si>
  <si>
    <t>225043</t>
  </si>
  <si>
    <t>222289</t>
  </si>
  <si>
    <t>85:2782.0 86:172.0 89:102.0 90:23.0 93:17.0 95:30.0 97:1.0 98:194.0 99:145.0 100:347.0 101:36.0 104:146.0 112:135.0 113:320.0 114:10.0 117:81.0 119:31.0 126:45.0 127:222.0 131:38.0 147:573.0 148:92.0 151:12.0 190:64.0 191:2.0 192:14.0 227:2.0 262:9.0 266:1.0 284:8.0 299:24.0 419:9.0 439:5.0 467:10.0</t>
  </si>
  <si>
    <t>224849</t>
  </si>
  <si>
    <t>535229</t>
  </si>
  <si>
    <t>275</t>
  </si>
  <si>
    <t>85:260.0 87:7.0 90:219.0 91:6.0 93:245.0 100:72.0 101:66.0 102:231.0 103:485.0 104:1.0 107:1072.0 108:365.0 109:305.0 110:2101.0 114:511.0 116:93.0 117:416.0 118:329.0 119:200.0 120:7.0 121:30.0 122:78.0 123:49.0 126:530.0 130:1260.0 132:11.0 133:198.0 134:239.0 135:49.0 136:81.0 138:36.0 140:61.0 145:3.0 146:200.0 147:24.0 148:12.0 149:5.0 152:25.0 154:226.0 156:1.0 158:43.0 160:13.0 162:2.0 167:266.0 175:35.0 176:2.0 177:180.0 179:152.0 180:2753.0 181:106.0 182:31.0 184:1366.0 186:51.0 188:4.0 190:1.0 191:96.0 193:774.0 194:117.0 195:29.0 197:1.0 199:18.0 200:75.0 201:11.0 204:3.0 207:5892.0 208:1236.0 209:519.0 210:53.0 211:72.0 215:2.0 217:51.0 221:6.0 223:12.0 228:953.0 229:61.0 230:47.0 231:28.0 232:13.0 234:1.0 238:65.0 240:34.0 241:43.0 242:20.0 244:3.0 245:97.0 247:50.0 256:20.0 259:35.0 261:150.0 263:18.0 267:7.0 268:1.0 275:1971.0 276:629.0 277:265.0 278:72.0 286:6.0 292:2.0 298:37.0 299:6.0 301:30.0 308:1.0 329:104.0 330:8.0 331:8.0 342:538.0 343:117.0 344:95.0 458:5.0</t>
  </si>
  <si>
    <t>224795</t>
  </si>
  <si>
    <t>376918</t>
  </si>
  <si>
    <t>85:259.0 86:9.0 88:42.0 89:56.0 90:1433.0 92:255.0 93:348.0 95:15.0 98:1728.0 100:156.0 101:936.0 102:3656.0 103:5150.0 104:1259.0 105:1.0 107:781.0 108:351.0 109:172.0 110:4818.0 111:145.0 112:1285.0 114:3714.0 115:182.0 117:2805.0 118:528.0 124:70.0 125:51.0 126:2476.0 127:2996.0 130:3096.0 132:470.0 133:3827.0 134:4225.0 135:154.0 140:13308.0 141:1161.0 142:219.0 144:251.0 145:1607.0 146:663.0 147:22623.0 148:3175.0 149:756.0 159:277.0 160:7.0 161:4.0 166:24.0 167:32.0 168:43.0 175:243.0 177:391.0 181:179.0 183:256.0 184:943.0 186:57.0 187:3.0 188:6.0 189:5467.0 190:1043.0 191:370.0 193:2.0 194:559.0 195:195.0 197:75.0 202:91.0 205:1178.0 206:130.0 207:151.0 209:75.0 210:14.0 211:58.0 212:387.0 217:620.0 219:261.0 226:80.0 227:71.0 237:1302.0 238:129.0 239:14.0 240:1.0 244:22.0 246:127.0 247:341.0 248:53.0 251:72.0 252:623.0 258:140.0 260:13.0 261:98.0 274:82.0 275:17.0 279:15.0 284:10.0 289:59.0 292:1668.0 293:505.0 294:269.0 299:69.0 307:310.0 308:34.0 309:29.0 315:62.0 316:48.0 326:16.0 327:108.0 331:33.0 341:1.0 362:20.0 375:2.0 401:4.0 406:13.0 413:9.0 425:15.0 438:4.0 449:14.0 458:1.0 482:1.0</t>
  </si>
  <si>
    <t>224574</t>
  </si>
  <si>
    <t>307560</t>
  </si>
  <si>
    <t>272</t>
  </si>
  <si>
    <t>85:24.0 86:2204.0 87:192.0 88:1379.0 89:2940.0 90:562.0 91:10.0 92:244.0 93:426.0 94:128.0 95:231.0 97:22.0 100:3226.0 101:347.0 102:247.0 103:1450.0 104:173.0 105:1304.0 106:253.0 107:1587.0 109:159.0 110:2763.0 111:75.0 114:3782.0 115:194.0 116:155.0 118:855.0 119:346.0 120:180.0 124:106.0 128:6.0 129:349.0 130:7912.0 131:1515.0 132:221.0 134:2447.0 136:805.0 137:630.0 139:358.0 140:10.0 141:122.0 142:841.0 143:771.0 144:1433.0 145:207.0 146:381.0 147:1983.0 148:1218.0 149:42.0 151:199.0 152:71.0 153:46.0 155:110.0 156:278.0 157:129.0 160:663.0 161:42.0 162:39.0 166:2.0 167:25.0 168:23.0 169:126.0 170:959.0 171:77.0 172:137.0 173:46.0 174:12.0 175:45.0 176:123.0 179:232.0 180:2084.0 181:225.0 182:93.0 184:1343.0 185:625.0 186:127.0 187:35.0 188:319.0 190:24.0 197:24.0 198:1014.0 199:323.0 200:323.0 202:73.0 203:30.0 204:1.0 213:536.0 214:30.0 216:1.0 218:13.0 219:28.0 228:72.0 232:5.0 245:50.0 259:57.0 260:11.0 262:253.0 263:37.0 272:1978.0 273:368.0 274:207.0 286:20.0 314:7.0 338:4.0 429:25.0</t>
  </si>
  <si>
    <t>223973</t>
  </si>
  <si>
    <t>1028825</t>
  </si>
  <si>
    <t>85:286.0 88:129.0 95:141.0 96:165.0 97:270.0 98:191.0 99:142.0 100:51.0 101:819.0 102:39.0 103:376.0 106:141.0 110:4.0 111:88.0 113:203.0 115:182.0 116:136.0 117:132.0 120:54.0 121:98.0 123:66.0 124:20.0 125:71.0 129:4677.0 130:713.0 131:483.0 132:39.0 133:151.0 134:194.0 137:97.0 138:36.0 139:6.0 145:638.0 146:320.0 147:353.0 151:9.0 153:22.0 155:181.0 156:9.0 159:27.0 164:5.0 166:20.0 167:25.0 169:4.0 171:56.0 173:12.0 175:24.0 177:40.0 178:2.0 179:22.0 180:16.0 181:181.0 183:96.0 187:10.0 188:87.0 192:15.0 193:399.0 194:158.0 195:176.0 196:40.0 197:110.0 198:31.0 201:731.0 202:119.0 203:51.0 204:11.0 207:1267.0 208:450.0 209:284.0 210:98.0 211:1987.0 212:270.0 213:171.0 215:118.0 218:3.0 221:306.0 222:115.0 225:200.0 226:99.0 227:745.0 228:95.0 229:78.0 231:4.0 235:37.0 237:55.0 239:120.0 241:151.0 242:55.0 243:2151.0 244:294.0 245:180.0 247:6.0 249:126.0 250:33.0 251:59.0 253:134.0 254:49.0 255:42.0 256:75.0 257:209.0 258:18.0 259:15.0 261:10.0 263:4.0 265:40.0 267:81.0 268:31.0 269:224.0 270:130.0 271:105.0 272:25.0 279:4.0 281:192.0 282:195.0 283:328.0 284:24.0 285:316.0 286:58.0 287:21.0 295:126.0 296:1.0 297:40.0 298:377.0 299:2084.0 300:467.0 301:297.0 302:47.0 306:6.0 307:27.0 310:15.0 311:56.0 312:5.0 313:98.0 314:92.0 315:663.0 316:86.0 317:115.0 318:5.0 323:12.0 325:78.0 326:35.0 327:109.0 328:334.0 329:107.0 330:42.0 337:7.0 340:20.0 341:245.0 342:112.0 343:113.0 347:12.0 353:4.0 355:77.0 356:181.0 357:642.0 358:124.0 359:70.0 361:11.0 365:7.0 369:25.0 370:89.0 371:232.0 372:113.0 373:171.0 375:47.0 376:17.0 378:17.0 380:10.0 384:70.0 385:204.0 386:87.0 399:5.0 400:7.0 401:37.0 402:4.0 403:25.0 414:3.0 415:78.0 416:25.0 417:2.0 426:7.0 428:41.0 429:117.0 431:11.0 443:7.0 456:3.0 464:6.0 467:15.0 475:50.0 476:12.0 477:2.0 484:12.0 485:12.0 488:2.0 489:4.0 490:9.0 491:2.0</t>
  </si>
  <si>
    <t>223597</t>
  </si>
  <si>
    <t>1204498</t>
  </si>
  <si>
    <t>95:171.0 96:54.0 103:45.0 113:54.0 118:26.0 121:132.0 129:1581.0 130:88.0 142:10.0 162:17.0 165:14.0 166:4.0 177:26.0 178:51.0 187:8.0 192:44.0 193:207.0 194:99.0 195:12.0 197:76.0 207:906.0 208:257.0 209:213.0 211:32.0 218:11.0 222:7.0 224:1.0 235:17.0 238:10.0 239:140.0 240:63.0 241:1.0 247:37.0 249:122.0 251:25.0 252:42.0 255:4.0 257:30.0 258:2.0 263:2.0 264:1.0 265:185.0 266:2.0 267:176.0 268:68.0 269:25.0 276:8.0 277:12.0 279:8.0 280:131.0 281:227.0 282:222.0 283:36.0 284:32.0 285:2.0 293:15.0 295:12.0 296:26.0 297:1573.0 298:384.0 299:135.0 301:15.0 311:147.0 312:35.0 313:88.0 315:46.0 319:10.0 324:24.0 325:97.0 326:13.0 327:99.0 328:46.0 329:40.0 339:29.0 340:9.0 341:291.0 342:55.0 343:52.0 344:51.0 346:13.0 353:8.0 355:148.0 356:21.0 357:9.0 359:1.0 366:20.0 367:4.0 371:1.0 377:13.0 381:2.0 384:3.0 385:35.0 387:31.0 388:14.0 394:15.0 397:11.0 399:9.0 400:19.0 401:32.0 405:21.0 407:7.0 409:4.0 415:125.0 416:10.0 417:11.0 424:14.0 425:2.0 426:7.0 429:18.0 433:1.0 442:2.0 444:5.0 445:4.0 447:16.0 449:28.0 452:5.0 459:6.0 461:24.0 462:4.0 463:8.0 467:9.0 469:2.0 474:6.0 476:3.0 485:3.0 487:22.0 489:23.0 492:24.0</t>
  </si>
  <si>
    <t>223531</t>
  </si>
  <si>
    <t>270642</t>
  </si>
  <si>
    <t>85:2427.0 86:40686.0 87:8300.0 88:2510.0 89:14224.0 92:937.0 93:2550.0 99:1564.0 100:98565.0 101:17741.0 102:5239.0 103:4003.0 104:2330.0 105:2146.0 106:2460.0 107:4930.0 108:854.0 110:3187.0 114:2609.0 115:3332.0 116:3532.0 117:4544.0 118:2522.0 119:1155.0 120:589.0 121:367.0 124:31.0 125:471.0 126:1807.0 127:3709.0 129:289.0 130:13797.0 131:10429.0 132:2827.0 133:61755.0 134:8303.0 136:757.0 138:120.0 143:1299.0 146:2286.0 147:77361.0 148:10920.0 149:7257.0 152:251.0 153:219.0 156:266.0 158:954.0 160:2861.0 161:717.0 162:1902.0 169:238.0 172:1383.0 174:21369.0 175:2604.0 176:472.0 182:49.0 183:2.0 187:1252.0 188:1338.0 189:531.0 190:1658.0 192:1638.0 195:48.0 196:240.0 198:285.0 204:316.0 205:1889.0 207:357.0 208:12.0 211:377.0 215:633.0 216:94.0 218:1020.0 220:4456.0 221:319.0 225:83.0 228:310.0 233:398.0 234:466.0 235:2.0 246:47.0 247:20.0 248:6877.0 249:1749.0 250:1180.0 251:423.0 252:2.0 255:50.0 257:11.0 261:22.0 262:11207.0 263:2428.0 264:1047.0 265:657.0 266:15.0 269:101.0 270:57.0 272:479.0 273:147.0 286:25.0 295:8.0 336:3.0 337:50.0 341:42.0 367:3.0 374:1.0 375:6.0 393:17.0 401:7.0 404:24.0 420:2.0 422:2.0 423:2.0 433:1.0 443:20.0 445:1.0 449:4.0 464:2.0 470:1.0 471:13.0 474:1.0 479:5.0 481:5.0 484:3.0 485:3.0 489:1.0 497:10.0</t>
  </si>
  <si>
    <t>223521</t>
  </si>
  <si>
    <t>1166398</t>
  </si>
  <si>
    <t>85:153.0 95:206.0 96:208.0 97:111.0 100:42.0 109:59.0 110:14.0 111:80.0 113:58.0 120:29.0 123:26.0 124:7.0 129:1826.0 135:169.0 142:104.0 143:7.0 155:103.0 157:9.0 162:2.0 163:39.0 165:39.0 166:82.0 176:55.0 177:123.0 179:32.0 180:19.0 183:67.0 191:134.0 193:166.0 194:128.0 195:105.0 196:1.0 197:113.0 198:30.0 199:5.0 204:1.0 207:451.0 208:420.0 209:67.0 222:134.0 231:4.0 235:39.0 237:50.0 238:3.0 239:59.0 241:12.0 244:5.0 247:8.0 249:133.0 252:43.0 253:187.0 255:21.0 261:7.0 264:9.0 265:152.0 266:39.0 267:119.0 268:35.0 269:77.0 270:4.0 274:8.0 275:16.0 279:18.0 280:88.0 281:363.0 282:90.0 283:1562.0 284:336.0 285:59.0 293:21.0 295:133.0 297:19.0 298:16.0 299:41.0 311:304.0 312:105.0 313:14.0 314:8.0 315:8.0 323:41.0 324:1.0 325:14.0 326:26.0 327:33.0 328:14.0 329:16.0 337:6.0 338:19.0 339:28.0 341:189.0 342:63.0 343:53.0 353:39.0 355:234.0 356:14.0 357:1.0 364:19.0 369:23.0 372:3.0 374:21.0 377:6.0 378:4.0 381:2.0 385:72.0 386:33.0 387:7.0 388:2.0 389:27.0 392:6.0 398:2.0 400:6.0 401:80.0 402:33.0 403:4.0 415:50.0 417:4.0 419:14.0 420:8.0 428:11.0 429:195.0 430:149.0 432:17.0 439:23.0 444:13.0 450:4.0 453:18.0 460:8.0 463:21.0 466:7.0 474:6.0 475:16.0 476:24.0 488:3.0 489:26.0 490:33.0 499:4.0</t>
  </si>
  <si>
    <t>222169</t>
  </si>
  <si>
    <t>975088</t>
  </si>
  <si>
    <t>85:126.0 86:76.0 89:207.0 90:315.0 91:646.0 93:130.0 94:191.0 95:382.0 97:395.0 98:1885.0 99:66.0 100:141.0 101:97.0 108:218.0 111:44.0 112:111.0 113:1.0 115:1182.0 116:5333.0 117:456.0 118:104.0 120:99.0 121:117.0 122:334.0 124:78.0 125:530.0 127:293.0 128:4265.0 129:534.0 130:559.0 131:9972.0 132:1150.0 133:360.0 136:209.0 141:120.0 142:256.0 143:87.0 144:4510.0 145:719.0 146:10.0 150:15.0 152:109.0 156:85.0 157:3.0 158:359.0 159:126.0 165:701.0 170:243.0 172:90.0 173:116.0 178:75.0 184:76.0 186:133.0 187:46.0 189:1.0 198:254.0 200:272.0 201:13.0 208:83.0 209:32.0 212:183.0 214:5.0 215:120.0 216:15.0 217:2.0 219:4.0 226:51.0 229:117.0 230:77.0 231:17.0 240:80.0 242:16.0 246:31.0 256:70.0 262:32.0 264:15.0 282:14.0 288:16.0 296:12.0 308:49.0 310:44.0 324:68.0 338:6.0 352:2.0 353:8.0 379:6.0 392:13.0 394:290.0 395:150.0 396:30.0 409:138.0 410:118.0 487:14.0</t>
  </si>
  <si>
    <t>222151</t>
  </si>
  <si>
    <t>1196547</t>
  </si>
  <si>
    <t>316</t>
  </si>
  <si>
    <t>85:125.0 88:115.0 89:337.0 91:5664.0 92:390.0 93:238.0 95:150.0 96:15.0 98:5.0 99:110.0 102:216.0 103:436.0 104:314.0 105:2268.0 106:250.0 107:964.0 112:648.0 113:135.0 115:2081.0 116:678.0 117:2237.0 118:338.0 119:1608.0 120:275.0 121:453.0 123:15.0 125:40.0 127:23.0 128:1114.0 129:1124.0 130:266.0 131:1887.0 132:568.0 133:897.0 135:383.0 137:31.0 140:21.0 141:267.0 142:238.0 143:615.0 144:234.0 145:332.0 146:63.0 147:2521.0 148:434.0 149:266.0 150:15.0 154:5.0 156:30.0 157:207.0 158:69.0 159:669.0 160:79.0 161:259.0 163:498.0 167:24.0 173:124.0 174:34.0 175:1674.0 176:67.0 177:22.0 178:170.0 179:305.0 180:23.0 183:21.0 187:277.0 188:105.0 189:35.0 190:71.0 191:3412.0 192:559.0 194:143.0 195:51.0 196:14.0 197:472.0 199:43.0 206:167.0 207:350.0 208:168.0 209:83.0 210:65.0 211:27.0 215:102.0 217:6.0 219:167.0 221:34.0 222:87.0 223:42.0 225:94.0 228:9.0 229:39.0 234:18.0 235:196.0 236:23.0 237:275.0 238:30.0 239:18.0 251:312.0 253:711.0 254:62.0 256:3.0 263:110.0 265:27.0 273:27.0 279:106.0 280:26.0 281:104.0 282:42.0 288:3.0 289:86.0 290:48.0 291:630.0 292:36.0 298:7.0 303:114.0 305:73.0 307:18.0 311:22.0 316:1896.0 317:682.0 318:18.0 330:7.0 331:65.0 341:35.0 343:6.0 347:15.0 348:1.0 352:15.0 356:65.0 364:30.0 366:6.0 367:438.0 368:59.0 369:19.0 370:7.0 381:6.0 385:6.0 387:15.0 403:12.0 423:127.0 424:61.0 437:48.0 443:66.0 458:17.0 460:34.0 463:20.0 479:151.0 481:25.0 487:7.0 493:29.0</t>
  </si>
  <si>
    <t>222115</t>
  </si>
  <si>
    <t>249620</t>
  </si>
  <si>
    <t>85:78308.0 86:6070.0 88:3708.0 89:252.0 90:189.0 91:1234.0 92:564.0 93:1452.0 94:49.0 95:586.0 96:405.0 97:2307.0 98:6380.0 99:6506.0 100:12960.0 103:977.0 105:1651.0 106:111.0 107:21067.0 108:1123.0 109:416.0 110:11507.0 111:523.0 112:4055.0 113:4632.0 115:598.0 116:13699.0 117:633.0 118:773.0 119:157.0 120:1112.0 121:935.0 125:195.0 126:4583.0 127:17952.0 128:367.0 130:13812.0 131:11762.0 132:3355.0 133:1866.0 134:31102.0 135:683.0 136:805.0 137:158.0 140:570.0 141:288.0 142:829.0 143:336.0 147:58203.0 148:9264.0 149:4540.0 150:387.0 151:468.0 153:66.0 155:4760.0 156:524.0 157:117.0 158:7261.0 159:687.0 160:843.0 162:733.0 163:231.0 165:5532.0 166:91.0 167:14.0 170:533.0 172:172.0 173:497.0 184:5434.0 189:195.0 190:151.0 191:320.0 192:6.0 193:68.0 194:24.0 199:753.0 200:51.0 201:2.0 204:16283.0 206:188.0 209:91.0 212:6.0 219:485.0 220:25.0 221:1008.0 222:245.0 225:1259.0 226:168.0 227:97.0 240:1177.0 241:171.0 242:5.0 248:2746.0 249:386.0 250:57.0 263:2.0 278:569.0 279:95.0 302:696.0 303:121.0 332:274.0</t>
  </si>
  <si>
    <t>222099</t>
  </si>
  <si>
    <t>590692</t>
  </si>
  <si>
    <t>85:1288.0 86:154.0 87:1445.0 88:153.0 89:283.0 90:76.0 91:696.0 93:117.0 94:15.0 95:232.0 97:276.0 98:128.0 99:78.0 100:292.0 102:196.0 103:142.0 106:70.0 109:125.0 110:316.0 113:85.0 114:24.0 115:732.0 116:70.0 118:22.0 120:9.0 122:4.0 126:75.0 127:449.0 128:729.0 129:242.0 130:193.0 132:122.0 134:98.0 135:33.0 139:121.0 141:795.0 142:101.0 143:196.0 144:51.0 147:92.0 149:3.0 150:87.0 151:636.0 152:912.0 153:1209.0 154:657.0 155:2361.0 156:256.0 157:128.0 158:29.0 161:30.0 163:79.0 165:396.0 166:124.0 167:257.0 168:102.0 169:311.0 170:48.0 177:138.0 178:173.0 179:259.0 180:57.0 181:40.0 182:73.0 183:61.0 184:15.0 186:50.0 191:136.0 192:48.0 193:179.0 194:11.0 197:2608.0 198:355.0 201:11.0 202:10.0 204:19.0 206:19.0 207:4213.0 208:656.0 209:201.0 212:960.0 213:59.0 218:6.0 221:177.0 223:28.0 225:6.0 235:11.0 241:19.0 251:110.0 262:28.0 263:36.0 268:53.0 270:7.0 271:4.0 276:182.0 277:51.0 290:21.0 292:26.0 293:26.0 295:8.0 303:1.0 305:62.0 323:8.0 328:63.0 329:26.0 354:14.0 369:3.0 372:3.0 392:30.0 421:7.0 422:8.0 429:25.0 434:34.0 467:29.0 469:17.0 497:31.0</t>
  </si>
  <si>
    <t>222050</t>
  </si>
  <si>
    <t>606068</t>
  </si>
  <si>
    <t>85:2103.0 86:223.0 87:29.0 88:157.0 89:1237.0 91:4108.0 92:339.0 93:3603.0 94:421.0 95:2192.0 96:360.0 97:807.0 98:502.0 99:325.0 100:332.0 101:1557.0 102:313.0 103:4523.0 104:740.0 105:2346.0 106:600.0 107:2971.0 109:1800.0 110:550.0 111:814.0 112:61.0 113:367.0 114:407.0 115:467.0 116:269.0 117:12364.0 118:1556.0 119:2072.0 120:326.0 121:1445.0 122:301.0 123:1723.0 124:266.0 125:369.0 128:13.0 129:511.0 131:321.0 132:68.0 133:2554.0 134:11.0 135:3109.0 136:461.0 137:304.0 138:28.0 139:175.0 140:96.0 141:384.0 143:584.0 144:130.0 145:118.0 146:196.0 147:637.0 148:109.0 149:881.0 150:272.0 151:676.0 152:105.0 153:223.0 154:24.0 155:596.0 156:78.0 157:1159.0 158:92.0 159:411.0 160:205.0 161:54.0 162:67.0 164:108.0 165:556.0 166:112.0 167:547.0 168:70.0 169:619.0 170:40.0 171:429.0 173:686.0 174:100.0 175:208.0 176:82.0 177:374.0 181:2194.0 182:370.0 183:1560.0 185:455.0 187:36.0 191:637.0 192:104.0 193:175.0 195:357.0 196:133.0 197:393.0 198:21.0 199:150.0 205:79.0 209:269.0 210:45.0 211:365.0 212:25.0 213:79.0 214:61.0 217:335.0 223:5528.0 224:1081.0 225:1149.0 226:291.0 227:49.0 230:20.0 232:1.0 237:4.0 239:179.0 240:65.0 241:98.0 245:10.0 247:3.0 256:4.0 257:6.0 259:16.0 260:13.0 265:172.0 266:31.0 267:1067.0 268:257.0 269:34.0 271:96.0 272:69.0 273:7.0 280:5.0 281:179.0 282:197.0 283:21.0 284:9.0 289:41.0 298:11.0 301:8.0 303:8.0 306:18.0 309:36.0 310:7.0 312:147.0 313:221.0 314:149.0 315:35.0 324:11.0 328:33.0 333:14.0 337:7.0 346:25.0 347:1.0 349:4.0 355:51.0 357:694.0 358:339.0 359:71.0 360:11.0 361:17.0 363:188.0 373:31.0 374:33.0 377:22.0 379:4.0 384:6.0 394:27.0 395:27.0 396:8.0 398:56.0 404:21.0 405:1.0 411:14.0 416:4.0 418:45.0 424:57.0 426:3.0 433:27.0 434:6.0 450:29.0 452:3.0 455:16.0 470:23.0 475:2.0 480:17.0 487:1.0 495:15.0 500:19.0</t>
  </si>
  <si>
    <t>221606</t>
  </si>
  <si>
    <t>580123</t>
  </si>
  <si>
    <t>86:56.0 89:2786.0 90:137.0 91:66.0 98:138.0 99:55.0 101:458.0 102:68.0 103:33.0 105:189.0 107:45.0 108:18.0 110:14.0 113:518.0 114:49.0 115:163.0 116:208.0 117:143.0 118:32.0 119:55.0 121:58.0 123:20.0 130:65.0 131:283.0 133:800.0 134:47.0 135:368.0 137:89.0 140:5.0 143:8.0 146:98.0 151:10.0 156:60.0 159:3260.0 160:285.0 161:102.0 167:9.0 173:3.0 174:29.0 175:4.0 177:3.0 181:120.0 183:60.0 184:26.0 185:4.0 188:27.0 191:46.0 193:44.0 195:176.0 197:33.0 200:13.0 204:12.0 207:52.0 211:1372.0 212:190.0 213:91.0 225:243.0 227:1159.0 228:117.0 229:67.0 239:9.0 241:19.0 242:32.0 253:132.0 254:20.0 256:70.0 257:19.0 267:23.0 269:4.0 271:16.0 298:4.0 299:682.0 300:124.0 301:71.0 315:160.0 316:48.0 317:19.0 323:6.0 327:2.0 329:4.0 341:70.0 342:31.0 357:341.0 358:55.0 366:11.0 401:149.0 402:52.0 403:6.0 480:8.0</t>
  </si>
  <si>
    <t>220136</t>
  </si>
  <si>
    <t>266321</t>
  </si>
  <si>
    <t>154</t>
  </si>
  <si>
    <t>86:119.0 87:744.0 89:225.0 93:322.0 95:46.0 96:407.0 97:96.0 98:248.0 99:163.0 101:135.0 103:72.0 107:231.0 108:75.0 110:1678.0 111:250.0 117:618.0 119:158.0 126:385.0 127:78.0 128:61.0 129:155.0 130:892.0 133:524.0 134:59.0 144:11.0 145:1070.0 146:318.0 147:7860.0 148:1444.0 149:757.0 154:2455.0 155:327.0 156:147.0 158:7.0 166:787.0 168:15.0 169:2.0 172:7.0 173:574.0 174:236.0 184:4.0 189:779.0 190:169.0 191:287.0 195:305.0 216:7.0 218:14.0 219:1.0 220:1.0 225:71.0 251:1.0 267:8.0 268:2.0 269:1.0 283:13.0 301:6.0 309:2.0 355:3.0 356:1.0 358:8.0 360:12.0 366:7.0 392:4.0 418:19.0 435:12.0 448:18.0 475:6.0 486:10.0</t>
  </si>
  <si>
    <t>220010</t>
  </si>
  <si>
    <t>1027429</t>
  </si>
  <si>
    <t>85:56.0 89:26.0 90:29.0 91:52.0 93:36.0 95:125.0 96:11.0 97:99.0 98:202.0 99:69.0 100:15.0 101:9.0 104:10.0 105:9.0 107:26.0 108:5.0 109:87.0 110:9.0 111:75.0 112:35.0 117:31.0 121:33.0 123:126.0 124:8.0 125:64.0 126:2.0 129:82.0 130:31.0 135:26.0 137:325.0 138:38.0 139:87.0 140:34.0 141:15.0 153:90.0 154:33.0 155:2072.0 156:153.0 157:65.0 158:7.0 163:67.0 164:21.0 165:37.0 167:16.0 169:50.0 171:349.0 172:18.0 179:36.0 180:6.0 181:168.0 183:16.0 192:17.0 193:508.0 194:27.0 195:83.0 196:51.0 197:110.0 198:46.0 199:8.0 201:15.0 207:112.0 208:95.0 209:202.0 210:53.0 211:263.0 212:9.0 216:11.0 225:28.0 226:439.0 227:2166.0 228:242.0 229:97.0 231:6.0 239:3.0 243:47.0 246:3.0 247:9.0 255:19.0 256:15.0 259:2.0 262:4.0 265:14.0 267:18.0 268:110.0 269:1.0 279:3.0 281:351.0 282:13.0 283:38.0 295:33.0 299:22.0 300:5.0 304:4.0 313:16.0 317:1.0 323:2.0 337:14.0 338:5.0 343:2.0 344:1.0 357:7.0 360:4.0 364:8.0 388:6.0 435:8.0 447:1.0 449:86.0 450:33.0 454:3.0</t>
  </si>
  <si>
    <t>218821</t>
  </si>
  <si>
    <t>726446</t>
  </si>
  <si>
    <t>85:529.0 86:22850.0 87:2269.0 88:831.0 89:374.0 90:130.0 91:817.0 92:84.0 93:90.0 94:20.0 95:129.0 97:47.0 98:45.0 99:263.0 100:9758.0 101:1472.0 102:2563.0 103:995.0 104:1145.0 105:754.0 106:46.0 107:97.0 108:3.0 109:43.0 110:20.0 111:49.0 112:43.0 113:218.0 114:184.0 115:778.0 116:830.0 117:1818.0 118:335.0 119:973.0 120:64.0 121:103.0 122:43.0 123:72.0 125:19.0 126:30.0 127:29.0 128:66.0 129:208.0 130:2504.0 131:2108.0 132:426.0 133:1332.0 134:190.0 135:269.0 136:163.0 137:85.0 138:6.0 140:3.0 141:8.0 142:54.0 143:124.0 144:459.0 145:285.0 146:434.0 147:1134.0 148:258.0 149:1312.0 150:182.0 151:206.0 152:51.0 153:40.0 154:4.0 156:79.0 157:75.0 158:611.0 159:209.0 160:117.0 161:273.0 162:204.0 163:286.0 164:52.0 165:90.0 166:46.0 167:15.0 169:30.0 170:27.0 171:3.0 172:609.0 173:195.0 174:69137.0 175:12587.0 176:5738.0 177:1026.0 178:230.0 179:5309.0 180:837.0 181:366.0 182:24.0 183:4.0 184:8.0 188:22.0 189:49.0 190:46.0 191:106.0 192:95.0 193:639.0 194:134.0 195:124.0 196:33.0 198:7.0 202:2.0 203:2.0 204:105.0 205:57.0 207:111.0 208:35.0 209:290.0 210:78.0 211:38.0 213:40.0 214:3.0 218:75.0 219:27.0 220:122.0 221:72.0 223:127.0 224:7.0 226:10.0 227:17.0 229:14.0 232:22.0 233:48.0 234:72.0 235:37.0 236:28.0 237:850.0 238:192.0 239:76.0 240:2.0 241:1.0 243:15.0 246:14.0 247:12.0 248:385.0 249:97.0 250:385.0 251:157.0 252:112.0 253:18.0 254:80.0 257:9.0 262:24.0 264:460.0 265:368.0 266:95.0 267:558.0 268:184.0 269:45.0 270:10.0 273:17.0 279:9.0 280:9.0 281:15.0 284:9.0 296:11.0 297:4.0 303:6.0 307:7.0 308:13.0 311:15.0 312:14.0 314:1.0 319:27.0 320:7.0 321:10.0 322:33.0 336:33.0 337:32.0 338:505.0 339:162.0 340:42.0 341:3.0 346:22.0 350:7.0 352:150.0 353:55.0 354:40.0 355:18.0 379:4.0 391:3.0 397:6.0 399:11.0 416:11.0 425:64.0 426:736.0 427:380.0 428:158.0 429:49.0 433:10.0 439:7.0 440:6.0 450:11.0 453:6.0 462:2.0 468:5.0 474:3.0 492:6.0</t>
  </si>
  <si>
    <t>218784</t>
  </si>
  <si>
    <t>211974</t>
  </si>
  <si>
    <t>85:1532.0 86:318.0 87:412.0 88:998.0 90:511.0 91:1250.0 92:499.0 93:23.0 94:7.0 97:1923.0 98:891.0 99:896.0 100:901.0 101:1657.0 102:488.0 103:55.0 104:344.0 105:79.0 106:253.0 107:192.0 108:1074.0 109:432.0 110:15079.0 111:545.0 112:321.0 113:99.0 115:2167.0 116:935.0 117:54.0 118:1744.0 119:190.0 120:329.0 121:68.0 122:94.0 123:27.0 124:321.0 126:76.0 127:315.0 130:1032.0 131:4786.0 132:912.0 133:375.0 134:17884.0 135:3072.0 136:4188.0 137:338.0 138:22.0 139:100.0 140:522.0 141:14.0 142:406.0 143:1002.0 144:85.0 146:123.0 148:296.0 149:69.0 150:49.0 151:57.0 152:735.0 153:65.0 155:2.0 156:87.0 158:105.0 159:13.0 160:17.0 161:11.0 163:14.0 164:9.0 167:101.0 168:800.0 169:59.0 173:14.0 174:10.0 176:10.0 181:17.0 182:46.0 183:64.0 184:13015.0 185:1340.0 186:582.0 187:64.0 188:109.0 189:6.0 195:22.0 196:110.0 198:386.0 199:92.0 200:169.0 205:3.0 208:68.0 209:88.0 210:34.0 211:52.0 212:54.0 213:187.0 214:6.0 215:1.0 218:2.0 222:10.0 226:10.0 227:35.0 228:12469.0 229:1588.0 230:519.0 231:50.0 242:529.0 243:29.0 244:19.0 245:6.0 247:1.0 251:7.0 257:35.0 259:5.0 262:5.0 275:13.0 281:18.0 292:5.0 294:9.0 302:6.0 312:6.0 319:5.0 321:1.0 322:8.0 323:20.0 326:5.0 334:2.0 336:16.0 352:2.0 361:5.0 365:7.0 367:19.0 368:5.0 379:4.0 397:17.0 398:24.0 400:2.0 403:1.0 404:13.0 405:2.0 415:1.0 421:3.0 427:11.0 428:1.0 432:2.0 433:7.0 435:6.0 437:6.0 442:2.0 444:3.0 455:2.0 457:5.0 464:6.0 466:2.0 478:35.0 497:5.0</t>
  </si>
  <si>
    <t>218550</t>
  </si>
  <si>
    <t>236709</t>
  </si>
  <si>
    <t>85:772.0 86:8118.0 87:926.0 88:1212.0 89:133.0 90:422.0 91:531.0 92:92.0 93:188.0 94:1294.0 95:924.0 96:3442.0 97:364.0 98:6.0 99:439.0 100:2125.0 101:4792.0 102:3804.0 103:531.0 104:451.0 105:3507.0 106:1339.0 107:173.0 108:367.0 109:113.0 110:2262.0 111:378.0 112:221.0 113:440.0 114:640.0 115:501.0 116:350.0 117:145.0 118:1018.0 119:142.0 120:1144.0 121:93.0 122:140.0 123:64.0 124:35.0 125:117.0 126:138.0 127:1039.0 128:404.0 129:3430.0 130:1936.0 131:770.0 132:341.0 133:406.0 134:12288.0 135:1127.0 136:466.0 137:330.0 138:329.0 139:7.0 140:150.0 141:73.0 142:305.0 143:8002.0 144:892.0 145:339.0 146:39.0 147:3084.0 148:585.0 149:276.0 150:72.0 152:84.0 154:81.0 156:167.0 157:46.0 158:418.0 159:124.0 160:84.0 162:15.0 163:16.0 165:38.0 166:16.0 167:19.0 168:193.0 169:17.0 170:4175.0 171:537.0 172:139.0 173:11.0 180:37.0 182:3.0 183:5.0 184:5617.0 185:1961.0 186:381.0 187:92.0 188:12.0 189:34.0 190:12.0 193:25.0 197:6.0 198:20.0 201:43.0 202:17.0 205:3.0 211:1.0 213:212.0 214:9.0 215:40.0 217:285.0 218:43.0 220:3.0 225:7.0 226:16.0 227:30.0 228:28.0 234:5.0 238:28.0 241:65.0 242:26.0 246:25.0 249:9.0 254:2.0 255:48.0 256:108.0 257:17.0 258:9.0 259:2.0 260:30.0 266:2.0 268:2.0 270:22.0 271:12.0 273:15.0 274:2.0 276:4.0 288:2.0 289:34.0 297:34.0 298:3.0 299:8.0 300:6.0 304:12.0 305:23.0 310:12.0 315:4.0 316:5.0 318:15.0 321:1.0 328:21.0 329:6.0 331:31.0 332:7.0 334:1.0 335:13.0 336:11.0 337:4.0 339:12.0 343:6.0 347:22.0 349:5.0 350:4.0 352:3.0 353:37.0 359:19.0 360:3.0 362:2.0 366:5.0 368:2.0 370:1.0 372:16.0 375:18.0 376:20.0 378:7.0 383:6.0 384:8.0 389:11.0 390:11.0 391:22.0 394:8.0 397:32.0 398:14.0 401:6.0 402:24.0 405:3.0 406:11.0 407:8.0 408:3.0 413:6.0 415:6.0 420:1.0 422:33.0 423:5.0 424:2.0 426:10.0 427:8.0 428:9.0 431:17.0 432:28.0 437:6.0 441:6.0 443:1.0 444:2.0 446:2.0 449:5.0 450:14.0 451:16.0 456:35.0 458:8.0 460:17.0 461:9.0 463:4.0 464:15.0 466:34.0 468:5.0 469:15.0 470:9.0 471:1.0 481:28.0 483:24.0 484:2.0 487:19.0 490:6.0 491:7.0 493:15.0 498:13.0 499:13.0 500:7.0</t>
  </si>
  <si>
    <t>217893</t>
  </si>
  <si>
    <t>708324</t>
  </si>
  <si>
    <t>85:202.0 86:67.0 87:639.0 88:61.0 89:168.0 91:456.0 93:501.0 94:28.0 95:237.0 96:129.0 97:171.0 98:30.0 99:53.0 100:88.0 101:296.0 102:5.0 103:1491.0 104:163.0 105:336.0 106:5.0 107:321.0 109:351.0 110:103.0 111:39.0 113:13.0 114:13.0 116:46.0 117:2151.0 118:160.0 119:240.0 120:8.0 121:195.0 122:3.0 123:104.0 124:20.0 125:36.0 129:278.0 131:81.0 133:355.0 135:457.0 137:15.0 139:66.0 140:78.0 141:101.0 142:7.0 143:97.0 144:39.0 145:39.0 146:6.0 147:289.0 149:37.0 151:28.0 153:13.0 154:13.0 155:17.0 157:44.0 158:3.0 160:11.0 161:604.0 162:57.0 163:28.0 167:142.0 168:17.0 169:26.0 170:48.0 172:71.0 173:140.0 174:53.0 179:78.0 181:231.0 182:16.0 183:78.0 184:22.0 185:43.0 189:25.0 191:9.0 195:27.0 197:53.0 199:13.0 200:111.0 202:63.0 204:29.0 205:60.0 206:3.0 211:11.0 217:878.0 218:147.0 223:1499.0 224:278.0 225:130.0 226:18.0 229:5.0 241:21.0 243:18.0 251:17.0 261:14.0 262:20.0 265:29.0 267:12.0 271:4.0 288:20.0 297:31.0 305:12.0 307:12.0 308:2.0 311:109.0 312:13.0 318:5.0 330:2.0 334:1.0 360:13.0 363:4.0 401:12.0 402:1.0 416:12.0 437:39.0 447:4.0 490:2.0</t>
  </si>
  <si>
    <t>217797</t>
  </si>
  <si>
    <t>655403</t>
  </si>
  <si>
    <t>85:567.0 86:1360.0 87:971.0 88:870.0 89:11394.0 90:1049.0 91:693.0 92:64.0 93:126.0 94:163.0 95:34.0 96:351.0 97:550.0 98:583.0 99:1218.0 100:1924.0 101:5846.0 102:1176.0 103:9757.0 104:961.0 105:2627.0 106:393.0 107:172.0 108:15.0 109:86.0 110:330.0 111:628.0 112:512.0 113:683.0 114:1997.0 115:1662.0 116:2134.0 117:15446.0 118:1539.0 119:1801.0 120:110.0 121:27.0 124:118.0 125:120.0 126:710.0 127:671.0 128:729.0 129:9427.0 130:2394.0 131:3341.0 132:635.0 133:9739.0 134:1576.0 135:1033.0 136:99.0 137:37.0 138:309.0 139:79.0 140:109.0 141:216.0 142:1076.0 143:2974.0 144:448.0 145:1046.0 146:399.0 147:30371.0 148:4577.0 149:3964.0 150:448.0 151:279.0 152:118.0 153:119.0 154:322.0 155:252.0 156:459.0 157:3972.0 158:1819.0 159:837.0 160:4682.0 161:1734.0 162:461.0 163:2159.0 164:266.0 165:165.0 166:47.0 167:39.0 168:526.0 169:333.0 170:353.0 171:1046.0 172:403.0 173:480.0 174:589.0 175:2156.0 176:340.0 177:685.0 178:131.0 179:3.0 180:172.0 181:165.0 182:132.0 183:86.0 184:192.0 185:186.0 186:344.0 187:359.0 188:1877.0 189:9780.0 190:1814.0 191:1736.0 192:185.0 193:184.0 194:28.0 196:126.0 197:67.0 198:132.0 199:284.0 200:802.0 201:771.0 202:247.0 203:934.0 204:914.0 205:33790.0 206:6504.0 207:3843.0 208:508.0 209:158.0 210:50.0 211:17.0 212:397.0 213:97.0 214:81.0 215:247.0 216:139.0 217:716.0 218:69.0 219:797.0 220:80.0 221:1031.0 222:200.0 223:97.0 224:1.0 226:14.0 227:11.0 228:175.0 229:20.0 230:310.0 231:622.0 232:232.0 233:176.0 234:299.0 235:49.0 236:17.0 237:29.0 240:46.0 241:21.0 242:118.0 243:152.0 244:278.0 245:393.0 246:136.0 247:56.0 248:19.0 249:44.0 252:7.0 254:86.0 255:37.0 256:61.0 257:112.0 258:237.0 259:894.0 260:206.0 261:134.0 262:82.0 263:212.0 264:21.0 269:5.0 270:164.0 271:177.0 272:1339.0 273:4955.0 274:1302.0 275:480.0 276:22.0 277:9.0 278:11.0 284:17.0 285:127.0 286:116.0 287:105.0 288:46.0 289:3.0 290:22.0 291:26.0 299:21.0 301:85.0 302:160.0 303:10.0 304:52.0 305:76.0 313:23.0 318:4.0 330:6.0 332:29.0 333:28.0 344:9.0 347:28.0 357:8.0 359:1.0 362:255.0 363:1231.0 364:368.0 365:120.0 367:7.0 379:1.0 383:5.0 386:6.0 387:15.0 392:13.0 398:9.0 402:4.0 404:2.0 413:8.0 418:28.0 419:1.0 429:7.0 455:1.0 476:9.0 477:6.0 478:8.0 500:12.0</t>
  </si>
  <si>
    <t>216865</t>
  </si>
  <si>
    <t>213466</t>
  </si>
  <si>
    <t>85:24.0 86:93.0 87:12.0 88:139.0 89:35.0 90:30.0 91:129.0 92:6.0 93:16.0 94:1.0 95:14.0 96:14.0 98:7.0 99:6.0 100:102.0 101:5.0 102:4.0 104:45.0 105:18.0 106:24.0 107:813.0 108:56.0 109:25.0 110:643.0 111:3.0 113:17.0 114:19.0 115:58.0 116:2.0 118:65.0 119:1.0 120:4.0 123:2.0 126:58.0 127:173.0 128:17.0 129:1.0 130:1296.0 131:134.0 132:13.0 134:1341.0 135:108.0 136:37.0 138:2.0 139:4.0 140:5.0 143:18.0 144:1.0 145:30.0 146:11.0 147:33.0 148:44.0 155:2.0 157:1.0 160:2.0 164:3.0 167:1.0 168:7.0 171:15.0 177:4.0 180:1.0 184:389.0 185:22.0 187:39.0 191:1.0 192:6.0 198:2.0 199:420.0 200:49.0 201:2.0 207:279.0 208:58.0 209:41.0 210:1.0 211:1.0 213:3.0 214:2.0 216:1.0 220:5.0 224:1.0 226:7.0 229:5.0 230:5.0 240:3.0 241:3.0 242:4.0 244:6.0 252:2.0 255:1.0 256:7.0 266:2.0 268:2.0 271:2.0 281:2.0 288:8.0 289:1.0 294:2.0 295:14.0 296:3.0 298:5.0 304:1.0 305:6.0 309:7.0 314:4.0 319:3.0 327:8.0 332:8.0 334:2.0 335:7.0 336:5.0 337:5.0 340:2.0 342:2.0 343:4.0 346:2.0 351:1.0 358:4.0 365:2.0 366:4.0 369:7.0 370:4.0 372:1.0 373:2.0 379:1.0 381:8.0 382:2.0 383:5.0 384:6.0 385:3.0 390:2.0 396:3.0 399:7.0 401:2.0 406:3.0 408:8.0 410:3.0 411:9.0 412:1.0 414:1.0 415:3.0 417:4.0 418:5.0 420:5.0 421:3.0 423:1.0 426:6.0 430:6.0 432:3.0 433:2.0 436:1.0 438:1.0 448:6.0 450:15.0 451:9.0 453:1.0 456:4.0 464:3.0 465:4.0 467:5.0 470:2.0 471:4.0 472:5.0 473:4.0 474:1.0 475:4.0 478:1.0 479:1.0 480:1.0 482:2.0 490:8.0 496:4.0 498:5.0 499:4.0</t>
  </si>
  <si>
    <t>216428</t>
  </si>
  <si>
    <t>505415</t>
  </si>
  <si>
    <t>85:214.0 86:24.0 91:566.0 92:31.0 93:250.0 94:32.0 95:117.0 97:120.0 99:28.0 100:19.0 101:44.0 102:7.0 103:130.0 105:468.0 106:28.0 107:263.0 108:40.0 109:139.0 110:14.0 111:23.0 112:11.0 115:161.0 117:1974.0 118:167.0 119:169.0 121:97.0 122:2.0 123:294.0 124:9.0 125:180.0 127:30.0 129:68.0 130:34.0 131:477.0 132:19.0 133:792.0 134:57.0 135:121.0 136:10.0 137:34.0 138:1.0 139:59.0 140:109.0 141:242.0 142:1.0 143:67.0 147:978.0 148:103.0 149:101.0 150:1.0 151:80.0 153:36.0 154:34.0 155:100.0 157:107.0 164:1.0 165:160.0 166:110.0 167:225.0 168:15.0 169:183.0 170:9.0 171:32.0 173:29.0 174:12.0 175:2.0 178:8.0 179:51.0 180:30.0 181:386.0 182:60.0 183:103.0 184:4.0 185:8.0 193:4.0 194:3.0 195:39.0 196:22.0 197:62.0 200:19.0 203:3.0 206:2.0 207:60.0 208:60.0 209:204.0 210:21.0 212:1.0 213:18.0 215:3.0 223:1317.0 224:221.0 225:68.0 226:25.0 229:7.0 235:5.0 236:7.0 237:2.0 239:13.0 241:12.0 243:4.0 245:2.0 249:12.0 250:4.0 252:1.0 254:6.0 255:21.0 256:61.0 257:50.0 258:21.0 260:2.0 264:9.0 265:73.0 266:11.0 267:8.0 268:13.0 269:15.0 270:25.0 271:124.0 272:22.0 273:6.0 275:2.0 276:11.0 277:5.0 278:17.0 279:11.0 281:1.0 282:6.0 283:23.0 284:13.0 286:7.0 290:1.0 295:6.0 297:7.0 298:8.0 299:12.0 300:4.0 301:1.0 302:1.0 308:5.0 310:7.0 311:13.0 312:7.0 313:1044.0 314:251.0 315:81.0 316:24.0 317:1.0 318:3.0 321:7.0 324:5.0 329:5.0 330:15.0 331:14.0 332:2.0 333:13.0 336:13.0 339:2.0 340:3.0 342:7.0 344:5.0 345:11.0 348:2.0 350:1.0 352:5.0 353:11.0 354:3.0 355:51.0 356:19.0 357:2.0 361:7.0 362:4.0 363:1.0 364:3.0 365:1.0 367:18.0 374:1.0 375:1.0 376:7.0 377:14.0 378:10.0 379:7.0 382:13.0 383:1.0 385:1.0 389:9.0 390:15.0 391:2.0 395:1.0 396:5.0 397:11.0 398:5.0 399:8.0 401:1.0 402:2.0 404:4.0 405:6.0 407:1.0 408:5.0 409:11.0 410:1.0 412:4.0 416:4.0 418:1.0 419:4.0 421:9.0 423:3.0 424:5.0 426:3.0 427:2.0 428:8.0 431:2.0 436:1.0 437:1.0 440:10.0 442:3.0 444:12.0 446:5.0 447:2.0 448:5.0 449:1.0 450:9.0 451:3.0 452:2.0 453:2.0 454:12.0 455:28.0 456:3.0 458:12.0 461:3.0 463:1.0 464:17.0 465:3.0 466:2.0 467:4.0 468:5.0 469:1.0 471:11.0 472:16.0 473:5.0 475:3.0 476:4.0 478:1.0 479:8.0 480:12.0 481:5.0 482:8.0 483:4.0 485:2.0 486:9.0 487:4.0 489:5.0 491:4.0 492:14.0 493:4.0 495:10.0 497:5.0 499:12.0</t>
  </si>
  <si>
    <t>215739</t>
  </si>
  <si>
    <t>410305</t>
  </si>
  <si>
    <t>87:2.0 91:5.0 92:4.0 93:33.0 94:1.0 95:79.0 96:11.0 99:2.0 100:27.0 101:5.0 102:2.0 104:2.0 106:4.0 107:17.0 108:17.0 109:9.0 110:12.0 111:1.0 115:5.0 116:11.0 119:9.0 121:5.0 122:6.0 123:6.0 124:3.0 125:2.0 126:4.0 127:12.0 130:49.0 133:115.0 134:5.0 135:27.0 136:12.0 137:34.0 138:11.0 140:2.0 141:5.0 143:7.0 144:2.0 146:13.0 151:6.0 153:1.0 155:7.0 157:2.0 163:1.0 164:7.0 166:5.0 167:8.0 170:6.0 176:2.0 178:8.0 179:1.0 181:36.0 183:22.0 184:16.0 185:20.0 194:5.0 195:5.0 196:2.0 197:13.0 199:1.0 200:5.0 204:2.0 210:4.0 211:599.0 212:103.0 213:34.0 214:5.0 215:3.0 216:2.0 220:2.0 223:1.0 225:34.0 226:8.0 227:127.0 228:17.0 229:3.0 230:5.0 231:6.0 232:2.0 234:2.0 237:1.0 238:2.0 239:1.0 240:5.0 242:6.0 243:138.0 244:10.0 245:7.0 246:12.0 247:3.0 250:3.0 251:4.0 254:3.0 255:5.0 256:4.0 259:10.0 260:7.0 261:2.0 264:1.0 266:10.0 268:1.0 269:4.0 270:2.0 272:5.0 274:14.0 275:2.0 276:2.0 281:7.0 282:1.0 283:11.0 287:3.0 288:9.0 290:2.0 294:1.0 297:7.0 298:2.0 299:2.0 301:3.0 305:3.0 307:3.0 308:1.0 309:2.0 312:4.0 314:1.0 321:3.0 322:5.0 325:3.0 326:5.0 328:1.0 329:5.0 332:11.0 334:1.0 335:2.0 338:3.0 344:1.0 345:6.0 347:1.0 348:2.0 349:6.0 352:1.0 356:2.0 358:4.0 359:1.0 360:1.0 362:1.0 367:10.0 368:12.0 370:4.0 373:1.0 375:5.0 376:1.0 377:1.0 378:4.0 380:1.0 387:4.0 388:3.0 389:7.0 390:1.0 391:1.0 394:1.0 396:5.0 397:1.0 398:4.0 399:2.0 401:4.0 402:2.0 403:2.0 404:5.0 405:4.0 407:8.0 415:2.0 416:1.0 417:2.0 418:1.0 420:3.0 421:1.0 423:1.0 425:2.0 426:2.0 427:4.0 430:1.0 431:2.0 432:2.0 434:3.0 435:3.0 436:8.0 438:6.0 439:1.0 441:5.0 442:2.0 443:5.0 447:4.0 449:1.0 450:4.0 451:3.0 452:8.0 453:3.0 454:1.0 456:1.0 457:2.0 460:7.0 462:9.0 463:1.0 464:2.0 465:2.0 466:3.0 467:3.0 468:1.0 473:2.0 474:1.0 475:9.0 479:3.0 480:2.0 482:3.0 483:3.0 489:4.0 490:1.0 491:3.0 493:5.0 494:4.0 496:6.0 497:12.0 498:2.0 499:3.0 500:2.0</t>
  </si>
  <si>
    <t>214682</t>
  </si>
  <si>
    <t>885681</t>
  </si>
  <si>
    <t>86:340.0 88:8.0 90:14.0 92:6.0 94:5.0 95:35.0 96:22.0 97:17.0 98:2.0 99:10.0 100:168.0 101:1.0 102:15.0 103:21.0 107:5.0 110:5.0 112:18.0 114:2.0 115:25.0 116:49.0 117:4.0 118:5.0 119:23.0 120:3.0 121:6.0 124:9.0 126:8.0 127:5.0 128:186.0 129:68.0 130:73.0 132:3.0 140:9.0 141:4.0 142:53.0 145:20.0 146:13.0 149:7.0 150:4.0 155:23.0 156:3.0 157:4.0 158:11.0 159:10.0 160:17.0 162:2.0 163:4.0 165:12.0 170:5.0 172:39.0 173:8.0 174:797.0 175:124.0 176:58.0 177:19.0 178:10.0 180:2.0 182:2.0 183:2.0 185:10.0 186:69.0 187:18.0 188:13.0 193:4.0 195:10.0 196:1.0 197:6.0 199:8.0 200:4.0 201:10.0 202:7.0 205:12.0 206:17.0 207:92.0 208:19.0 209:1.0 210:3.0 211:1.0 214:5.0 215:2.0 216:15.0 217:14.0 220:4.0 221:5.0 224:3.0 228:17.0 231:5.0 232:2.0 233:1.0 234:2.0 236:3.0 238:11.0 239:3.0 244:11.0 245:4.0 246:3.0 250:2.0 251:7.0 257:7.0 258:13.0 259:8.0 260:13.0 261:7.0 263:1.0 265:9.0 266:10.0 267:4.0 270:1.0 271:5.0 273:7.0 274:2.0 275:2.0 276:3.0 277:1.0 282:4.0 284:3.0 287:4.0 289:8.0 290:4.0 291:6.0 293:10.0 294:1.0 295:11.0 298:7.0 299:1.0 300:2.0 301:10.0 302:5.0 304:9.0 305:10.0 306:3.0 308:6.0 309:1.0 314:1.0 315:4.0 316:5.0 317:14.0 318:9.0 321:1.0 322:7.0 323:8.0 324:2.0 325:4.0 327:2.0 329:11.0 330:5.0 334:10.0 335:1.0 339:3.0 341:13.0 344:10.0 345:6.0 346:1.0 347:6.0 348:4.0 349:5.0 350:5.0 351:1.0 355:6.0 356:8.0 359:5.0 360:1.0 363:7.0 366:9.0 367:5.0 369:8.0 370:4.0 371:5.0 372:13.0 373:3.0 374:2.0 375:4.0 376:5.0 377:3.0 378:12.0 380:7.0 386:3.0 387:6.0 388:20.0 390:9.0 391:4.0 392:9.0 394:7.0 395:10.0 396:4.0 398:6.0 399:4.0 401:5.0 402:2.0 403:1.0 405:2.0 406:7.0 407:3.0 410:3.0 411:3.0 413:1.0 414:10.0 415:5.0 418:10.0 419:3.0 421:8.0 422:6.0 425:7.0 427:10.0 432:2.0 433:1.0 434:4.0 435:5.0 438:4.0 439:1.0 441:4.0 445:7.0 446:37.0 447:3.0 448:4.0 450:7.0 452:12.0 455:2.0 456:4.0 457:2.0 458:4.0 460:3.0 461:3.0 462:5.0 465:4.0 468:4.0 470:2.0 471:5.0 474:1.0 475:1.0 477:4.0 478:3.0 479:4.0 481:5.0 484:2.0 486:2.0 487:3.0 488:1.0 491:3.0 493:2.0 495:9.0 498:2.0</t>
  </si>
  <si>
    <t>213977</t>
  </si>
  <si>
    <t>537115</t>
  </si>
  <si>
    <t>85:54.0 86:2.0 87:160.0 88:3.0 93:4.0 94:1.0 95:1.0 97:36.0 98:939.0 99:20.0 100:7.0 101:24.0 102:172.0 109:1.0 112:7.0 113:9.0 115:29.0 116:8.0 117:4.0 122:3.0 124:2.0 129:119.0 130:18.0 131:5.0 132:4.0 133:2.0 134:6.0 140:2.0 141:1.0 142:11.0 143:11.0 144:5.0 146:10.0 147:7.0 148:5.0 154:27.0 156:20.0 157:7.0 158:3.0 159:2.0 161:1.0 162:5.0 166:3.0 168:1.0 170:4.0 172:30.0 173:7.0 174:3.0 176:2.0 180:2.0 181:1.0 182:2.0 183:17.0 186:2.0 188:249.0 189:11.0 192:18.0 199:5.0 200:37.0 201:23.0 209:1.0 212:1.0 213:5.0 218:14.0 219:4.0 220:8.0 222:4.0 228:1.0 229:10.0 232:2.0 244:41.0 245:3.0 249:3.0 253:1.0 258:4.0 259:2.0 263:11.0 267:1.0 269:1.0 271:2.0 274:8.0 281:5.0 282:3.0 288:1.0 299:1.0 303:2.0 305:2.0 306:2.0 313:3.0 314:1.0 315:1.0 316:2.0 319:3.0 327:7.0 328:1.0 329:1.0 332:4.0 333:1.0 335:2.0 337:2.0 346:2.0 350:14.0 357:2.0 363:1.0 364:3.0 366:1.0 367:1.0 369:1.0 370:1.0 371:4.0 373:3.0 375:2.0 378:7.0 385:3.0 388:2.0 394:3.0 397:3.0 405:1.0 410:2.0 422:2.0 428:5.0 431:2.0 435:4.0 438:6.0 440:1.0 457:2.0 461:4.0 465:4.0 466:1.0 470:1.0 474:2.0 476:6.0 478:2.0 481:3.0 483:6.0 484:8.0 488:5.0 490:6.0 491:1.0 496:2.0 498:6.0</t>
  </si>
  <si>
    <t>213974</t>
  </si>
  <si>
    <t>991296</t>
  </si>
  <si>
    <t>97:49.0 99:71.0 101:40.0 102:1.0 103:6.0 111:2.0 113:27.0 115:17.0 116:2.0 124:1.0 127:8.0 129:194.0 131:3.0 133:147.0 135:3.0 137:6.0 141:11.0 142:3.0 143:37.0 145:2.0 147:316.0 148:18.0 149:10.0 151:1.0 153:6.0 155:1.0 156:2.0 163:2.0 167:7.0 168:6.0 169:1020.0 170:96.0 171:56.0 174:5.0 177:3.0 181:6.0 184:4.0 185:3.0 191:20.0 192:3.0 196:6.0 197:1.0 198:1.0 207:38.0 208:4.0 211:205.0 212:7.0 215:46.0 216:6.0 217:13.0 220:3.0 227:55.0 230:70.0 231:2.0 236:2.0 243:91.0 258:2.0 279:8.0 281:5.0 299:160.0 300:17.0 301:11.0 314:11.0 315:320.0 316:58.0 317:30.0 361:1.0 370:1.0 373:2.0 375:1.0 379:2.0 390:1.0 393:1.0 397:1.0 417:1.0 437:2.0 443:6.0 486:1.0 487:1.0 499:6.0</t>
  </si>
  <si>
    <t>213960</t>
  </si>
  <si>
    <t>295965</t>
  </si>
  <si>
    <t>85:23.0 89:14.0 90:2.0 91:33.0 92:5.0 93:11.0 94:2.0 98:13.0 99:7.0 103:52.0 105:42.0 106:18.0 107:194.0 109:25.0 114:1.0 115:82.0 119:43.0 121:44.0 122:1.0 123:50.0 125:3.0 133:457.0 134:39.0 135:225.0 136:12.0 137:118.0 138:4.0 139:18.0 142:31.0 147:116.0 148:10.0 149:11.0 151:8.0 152:4.0 153:11.0 155:1.0 163:2.0 165:12.0 167:8.0 169:17.0 178:3.0 179:4.0 180:2.0 181:122.0 182:2.0 183:47.0 184:3.0 185:1.0 186:2.0 187:3.0 194:4.0 195:30.0 197:7.0 199:4.0 201:1.0 202:3.0 206:1.0 207:7.0 208:2.0 210:3.0 211:1512.0 212:214.0 213:98.0 214:4.0 217:2.0 218:2.0 219:5.0 224:6.0 225:132.0 226:19.0 227:103.0 228:18.0 229:14.0 232:2.0 237:107.0 238:13.0 241:6.0 246:1.0 247:6.0 248:5.0 250:2.0 252:6.0 253:279.0 254:41.0 255:28.0 257:2.0 266:5.0 272:2.0 276:3.0 282:3.0 285:1.0 290:2.0 296:1.0 297:2.0 307:1.0 308:4.0 310:2.0 313:1.0 314:4.0 319:3.0 320:4.0 322:1.0 335:4.0 339:4.0 347:1.0 355:5.0 359:1.0 364:1.0 365:3.0 367:4.0 368:3.0 374:1.0 375:4.0 378:8.0 380:1.0 381:1.0 382:5.0 389:4.0 396:1.0 397:2.0 401:4.0 406:1.0 408:10.0 416:5.0 423:1.0 428:1.0 430:1.0 431:5.0 450:1.0 454:3.0 455:3.0 457:5.0 460:3.0 461:4.0 465:1.0 470:2.0 476:2.0 481:1.0 484:3.0 493:5.0</t>
  </si>
  <si>
    <t>213697</t>
  </si>
  <si>
    <t>456893</t>
  </si>
  <si>
    <t>86:2775.0 87:1232.0 88:314.0 89:512.0 92:2.0 93:4.0 94:14.0 99:7.0 100:22496.0 101:2806.0 102:1248.0 103:1570.0 104:214.0 105:567.0 107:24.0 108:5.0 109:7.0 114:3170.0 115:3935.0 116:937.0 117:3696.0 118:495.0 119:810.0 120:83.0 121:67.0 123:32.0 125:17.0 126:57.0 128:225.0 129:1013.0 130:471.0 131:4598.0 132:843.0 133:7900.0 134:1175.0 135:715.0 136:26.0 137:137.0 138:76.0 142:58.0 143:327.0 144:2368.0 145:1259.0 146:341.0 147:33655.0 148:4858.0 149:3111.0 150:332.0 151:168.0 152:25.0 156:614.0 157:295.0 158:274.0 159:116.0 160:276.0 161:180.0 162:27.0 163:2369.0 164:399.0 165:184.0 168:11.0 169:34.0 171:29.0 172:430.0 173:132.0 174:3917.0 175:693.0 176:293.0 177:120.0 185:235.0 187:31.0 188:767.0 189:559.0 190:685.0 191:566.0 192:164.0 193:224.0 196:63.0 198:30.0 201:232.0 202:145.0 203:572.0 204:102.0 205:295.0 206:32.0 207:167.0 208:21.0 213:63.0 214:19.0 216:325.0 217:666.0 218:3.0 219:153.0 220:26.0 221:1102.0 222:396.0 223:205.0 224:56.0 226:23.0 227:49.0 228:67.0 231:480.0 232:19694.0 233:4470.0 234:1817.0 235:195.0 236:40.0 244:35.0 245:37.0 246:275.0 247:1980.0 248:378.0 249:587.0 250:40.0 251:352.0 259:475.0 260:176.0 261:43.0 262:541.0 263:211.0 264:128.0 265:390.0 266:67.0 269:7.0 270:42.0 271:92.0 272:65.0 273:21.0 274:2.0 276:38.0 277:93.0 278:26.0 279:37.0 280:37.0 281:2495.0 282:798.0 284:61.0 286:37.0 289:8.0 290:71.0 292:46.0 293:41.0 294:39.0 295:59.0 296:15.0 297:59.0 303:1.0 305:174.0 306:1096.0 307:602.0 308:263.0 309:67.0 310:43.0 314:50.0 315:64.0 316:28.0 321:186.0 322:40.0 323:60.0 324:42.0 325:349.0 326:380.0 327:1240.0 328:114.0 329:232.0 332:80.0 333:69.0 334:1446.0 335:583.0 336:295.0 337:57.0 339:3.0 340:16.0 341:370.0 342:339.0 343:142.0 346:5.0 347:27.0 348:6.0 349:145.0 350:8.0 351:48.0 352:7.0 355:33.0 356:51.0 357:38.0 358:25.0 359:22.0 360:4.0 366:21.0 367:9.0 368:33.0 370:13.0 372:31.0 374:31.0 378:19.0 379:36.0 380:29.0 382:16.0 383:311.0 384:52.0 385:211.0 386:1.0 387:12.0 388:40.0 389:17.0 390:2.0 391:18.0 392:9.0 393:18.0 395:51.0 397:14.0 399:469.0 400:198.0 403:34.0 404:23.0 405:7.0 406:6.0 408:34.0 409:26.0 410:21.0 411:7.0 413:29.0 414:133.0 415:239.0 416:170.0 417:124.0 422:1.0 423:29.0 424:8.0 425:48.0 429:2.0 430:14.0 431:52.0 432:21.0 433:12.0 434:37.0 436:2.0 437:6.0 438:62.0 439:20.0 441:34.0 442:3.0 445:29.0 454:68.0 455:45.0 458:20.0 460:42.0 462:22.0 463:8.0 466:15.0 467:6.0 468:45.0 470:7.0 474:25.0 475:37.0 476:5.0 479:14.0 480:15.0 483:4.0 487:57.0 488:58.0 490:16.0 492:16.0 494:4.0 495:14.0 496:23.0 498:8.0 500:30.0</t>
  </si>
  <si>
    <t>213353</t>
  </si>
  <si>
    <t>695971</t>
  </si>
  <si>
    <t>85:397.0 86:1005.0 87:191.0 88:282.0 89:155.0 90:2.0 91:1166.0 92:36.0 93:230.0 95:6.0 97:904.0 98:19.0 99:2.0 100:174.0 101:47.0 103:372.0 104:47.0 105:929.0 107:190.0 109:134.0 110:71.0 112:3.0 114:12.0 115:817.0 116:562.0 117:397.0 118:146.0 119:849.0 120:28.0 121:225.0 122:66.0 123:74.0 126:2.0 127:61.0 128:493.0 129:1239.0 130:613.0 131:1022.0 132:125.0 133:1229.0 134:56.0 135:73.0 136:18.0 137:21.0 138:13.0 139:22.0 140:4.0 141:2.0 142:441.0 143:567.0 144:199.0 145:524.0 146:119.0 147:2438.0 148:331.0 149:403.0 151:10.0 152:2.0 153:20.0 154:1.0 155:101.0 156:21.0 157:27.0 158:226.0 159:393.0 160:82.0 161:1186.0 162:134.0 163:219.0 164:22.0 165:34.0 166:1.0 167:35.0 168:5.0 169:22.0 170:6.0 171:144.0 172:37.0 173:450.0 174:362.0 175:1368.0 176:225.0 177:242.0 178:24.0 179:210.0 180:39.0 181:31.0 182:4.0 183:31.0 184:19.0 185:61.0 186:19.0 187:326.0 188:187.0 189:278.0 190:73.0 191:142.0 192:7.0 193:397.0 194:63.0 195:234.0 196:52.0 197:25.0 198:9.0 199:52.0 200:3.0 201:218.0 202:68.0 203:605.0 204:95.0 205:162.0 206:8.0 207:164.0 208:24.0 209:228.0 211:18.0 212:3.0 213:2.0 215:41.0 216:15.0 217:435.0 218:195.0 219:171.0 220:79.0 221:432.0 222:177.0 223:87.0 225:1.0 226:4.0 227:6.0 228:8.0 229:1.0 230:58.0 231:67.0 232:25.0 233:190.0 234:19.0 235:360.0 236:92.0 237:1489.0 238:286.0 239:58.0 242:2.0 243:9.0 245:6.0 247:24.0 248:28.0 249:156.0 250:90.0 251:112.0 252:9.0 256:1.0 259:34.0 260:1.0 261:123.0 262:43.0 263:303.0 264:142.0 265:147.0 266:34.0 267:1.0 271:14.0 272:4.0 274:3.0 275:5.0 277:283.0 278:68.0 279:180.0 280:87.0 281:8.0 282:4.0 285:9.0 290:12.0 291:169.0 292:191.0 293:6010.0 294:1712.0 295:409.0 296:69.0 297:34.0 299:2.0 302:2.0 305:2.0 306:2.0 308:6.0 311:61.0 313:2.0 314:7.0 317:20.0 320:7.0 322:3.0 323:9.0 325:13.0 327:11.0 333:411.0 334:204.0 335:99.0 336:3.0 344:6.0 346:9.0 347:6.0 348:319.0 349:92.0 350:41.0 351:3.0 359:1.0 360:11.0 361:14.0 364:4.0 367:88.0 368:8.0 369:4.0 373:6.0 375:6.0 376:1.0 379:9.0 380:6.0 381:14.0 382:152.0 383:85.0 384:11.0 396:2.0 397:2.0 406:1.0 407:4.0 414:4.0 422:3.0 423:131.0 424:54.0 425:19.0 437:1.0 438:8.0 439:5.0 442:6.0 443:3.0 452:8.0 453:1.0 456:2.0 461:2.0 465:9.0 469:6.0 471:1.0 472:2.0 474:2.0 479:8.0 480:9.0 482:1.0 489:14.0 490:6.0 498:1.0</t>
  </si>
  <si>
    <t>213253</t>
  </si>
  <si>
    <t>280269</t>
  </si>
  <si>
    <t>85:713.0 86:95162.0 87:8219.0 88:764.0 89:262.0 90:170.0 91:383.0 92:92.0 96:898.0 97:112.0 98:75.0 99:420.0 100:957.0 101:126.0 102:1170.0 103:4861.0 104:1481.0 105:545.0 106:132.0 110:13.0 111:23.0 113:16.0 114:187.0 115:110.0 116:111.0 117:583.0 118:299.0 121:17.0 125:70.0 126:65.0 127:339.0 128:868.0 129:1724.0 130:2723.0 131:1244.0 132:495.0 142:1103.0 143:253.0 144:412.0 146:4014.0 147:10.0 148:161.0 151:2.0 152:16.0 153:57.0 155:9.0 156:8.0 160:223.0 170:2748.0 171:1597.0 172:162.0 173:7.0 184:8.0 188:2866.0 189:327.0 190:67.0 267:1.0 271:3.0 281:36.0 298:8.0</t>
  </si>
  <si>
    <t>213226</t>
  </si>
  <si>
    <t>515402</t>
  </si>
  <si>
    <t>87:28.0 98:128.0 99:68.0 100:347.0 110:56.0 112:257.0 114:6.0 116:99.0 120:39.0 124:13.0 126:100.0 127:13.0 128:75.0 130:13.0 139:692.0 140:1.0 141:30.0 142:3319.0 143:407.0 144:149.0 146:52.0 149:105.0 150:49.0 153:98.0 154:494.0 155:4988.0 158:5.0 170:49.0 171:181.0 174:168.0 182:5.0 186:2249.0 187:227.0 188:66.0 201:2.0 211:27.0 216:524.0 227:182.0 229:69.0 244:31.0 257:151.0 258:8.0 272:4.0 288:99.0 289:7.0 301:145.0 302:49.0 303:6.0 344:95.0 345:10.0 387:11.0</t>
  </si>
  <si>
    <t>213164</t>
  </si>
  <si>
    <t>886306</t>
  </si>
  <si>
    <t>86:765.0 88:12.0 91:72.0 92:17.0 93:76.0 94:36.0 97:579.0 99:117.0 100:412.0 102:17.0 109:50.0 111:132.0 123:42.0 124:10.0 130:115.0 131:157.0 137:120.0 138:30.0 140:35.0 142:64.0 143:213.0 144:7.0 146:122.0 147:152.0 157:14.0 160:28.0 161:46.0 165:42.0 166:19.0 172:61.0 173:32.0 174:1700.0 175:226.0 176:117.0 178:11.0 192:3.0 193:93.0 194:6.0 204:5.0 205:9.0 209:81.0 211:57.0 212:1.0 214:1.0 216:17.0 220:7.0 221:135.0 227:6.0 230:5.0 233:5.0 243:33.0 248:35.0 249:42.0 250:7.0 253:11.0 267:101.0 274:9.0 281:93.0 282:64.0 284:7.0 288:22.0 292:1.0 302:13.0 304:19.0 305:120.0 306:62.0 307:19.0 309:9.0 312:2.0 315:8.0 316:1.0 319:35.0 320:14.0 324:1.0 325:18.0 337:7.0 338:5.0 341:39.0 342:5.0 343:20.0 344:9.0 347:9.0 353:19.0 355:14.0 356:39.0 358:1.0 361:46.0 370:1.0 372:15.0 376:8.0 377:13.0 383:1.0 384:11.0 387:43.0 388:5.0 391:1.0 392:9.0 394:1.0 399:7.0 404:7.0 409:23.0 410:3.0 411:8.0 416:13.0 420:1.0 427:6.0 428:8.0 429:13.0 431:2.0 441:2.0 453:104.0 454:31.0 455:16.0 456:17.0 458:11.0 460:3.0 469:4.0 470:7.0 472:9.0 476:8.0 479:8.0 484:8.0 486:5.0 487:5.0 491:2.0 492:1.0 496:28.0 500:1.0</t>
  </si>
  <si>
    <t>213160</t>
  </si>
  <si>
    <t>694743</t>
  </si>
  <si>
    <t>87:162.0 89:3.0 90:21.0 94:2.0 100:458.0 101:81.0 102:88.0 103:18.0 104:3.0 112:198.0 113:121.0 114:202.0 115:125.0 116:103.0 117:128.0 123:9.0 126:157.0 127:33.0 128:1044.0 129:10.0 130:221.0 131:10.0 132:14.0 139:337.0 140:20.0 141:39.0 142:41.0 143:78.0 146:19.0 147:1196.0 148:331.0 150:38.0 151:1.0 155:137.0 156:624.0 157:124.0 158:11.0 169:5.0 170:28.0 171:75.0 172:200.0 173:32.0 174:84.0 175:1.0 180:29.0 182:5.0 185:10.0 186:77.0 188:75.0 189:83.0 190:37.0 193:9.0 194:27.0 196:1.0 197:35.0 203:501.0 204:134.0 205:186.0 206:52.0 211:168.0 213:32.0 214:40.0 215:45.0 216:63.0 218:173.0 219:5.0 227:1531.0 228:245.0 229:70.0 230:127.0 231:41.0 233:5.0 234:4.0 236:4.0 239:10.0 240:1.0 241:4.0 242:21.0 243:85.0 244:40.0 245:1.0 247:20.0 248:18.0 250:5.0 251:7.0 257:124.0 258:84.0 260:72.0 261:13.0 262:37.0 264:8.0 270:7.0 272:19.0 274:9.0 276:12.0 277:6.0 278:2.0 283:18.0 284:1.0 286:9.0 287:13.0 288:28.0 289:24.0 290:18.0 291:1.0 292:34.0 293:10.0 294:2.0 295:1.0 297:22.0 301:38.0 302:13.0 304:1.0 305:3.0 306:4.0 307:30.0 309:7.0 311:4.0 313:2.0 314:8.0 317:159.0 318:22.0 319:41.0 321:1.0 329:28.0 330:12.0 334:3.0 335:6.0 341:35.0 343:10.0 344:46.0 345:29.0 346:39.0 347:20.0 350:28.0 351:8.0 352:3.0 353:10.0 357:1.0 359:8.0 361:42.0 362:15.0 365:10.0 366:2.0 369:1.0 375:6.0 376:12.0 377:6.0 382:18.0 385:7.0 386:11.0 388:5.0 390:12.0 391:10.0 395:7.0 397:4.0 399:2.0 401:9.0 403:16.0 404:20.0 407:13.0 408:5.0 411:4.0 412:9.0 417:1.0 418:2.0 419:20.0 421:25.0 423:1.0 425:1.0 427:14.0 428:5.0 430:5.0 431:9.0 434:1.0 436:3.0 438:9.0 440:6.0 441:12.0 443:3.0 446:2.0 450:9.0 453:12.0 454:8.0 457:7.0 460:6.0 463:1.0 464:12.0 468:11.0 471:26.0 472:4.0 473:4.0 477:9.0 478:4.0 479:16.0 481:1.0 482:4.0 483:8.0 487:10.0 488:14.0 489:11.0 491:20.0 492:3.0 494:18.0 495:14.0 499:17.0</t>
  </si>
  <si>
    <t>212251</t>
  </si>
  <si>
    <t>888557</t>
  </si>
  <si>
    <t>85:269.0 86:21.0 89:488.0 90:36.0 91:37.0 92:8.0 93:3.0 94:3.0 95:1.0 97:49.0 98:25.0 99:127.0 100:89.0 101:331.0 102:18.0 103:1001.0 104:78.0 105:98.0 106:18.0 111:1.0 113:41.0 114:122.0 115:51.0 116:89.0 117:362.0 118:35.0 119:47.0 120:8.0 126:8.0 127:18.0 128:28.0 129:719.0 130:69.0 131:333.0 132:61.0 133:543.0 134:66.0 135:53.0 136:11.0 137:25.0 141:10.0 142:50.0 145:39.0 146:8.0 147:1281.0 148:155.0 149:111.0 150:6.0 151:36.0 152:13.0 153:5.0 154:8.0 155:3.0 156:11.0 157:179.0 158:35.0 159:28.0 160:3.0 162:9.0 163:25.0 165:8.0 166:11.0 167:3.0 168:4.0 169:19.0 170:2.0 172:39.0 173:161.0 174:42.0 175:14.0 176:5.0 180:1.0 181:20.0 182:3.0 183:16.0 184:7.0 187:3.0 188:11.0 189:81.0 190:29.0 191:93.0 192:15.0 193:24.0 194:10.0 195:32.0 196:13.0 197:19.0 198:7.0 201:10.0 202:25.0 203:28.0 204:627.0 205:122.0 206:46.0 207:82.0 208:20.0 209:12.0 210:8.0 211:164.0 212:25.0 214:13.0 215:18.0 216:22.0 217:538.0 218:95.0 219:34.0 220:1.0 221:12.0 222:1.0 224:1.0 225:63.0 226:9.0 227:14.0 228:12.0 229:13.0 230:34.0 231:33.0 232:7.0 233:3.0 235:9.0 240:15.0 242:3.0 243:16.0 244:17.0 245:8.0 246:2.0 247:89.0 248:19.0 249:11.0 250:2.0 252:5.0 253:26.0 254:9.0 257:6.0 258:10.0 259:7.0 260:6.0 261:8.0 262:58.0 263:48.0 264:10.0 265:2.0 268:8.0 270:5.0 271:6.0 272:1.0 273:3.0 274:4.0 275:6.0 278:3.0 281:11.0 282:12.0 283:23.0 284:7.0 285:29.0 286:4.0 288:8.0 290:10.0 291:16.0 292:4.0 295:7.0 298:22.0 299:482.0 300:123.0 301:63.0 302:7.0 303:12.0 304:11.0 305:5.0 306:9.0 307:5.0 308:1.0 313:2.0 314:30.0 315:214.0 316:61.0 317:23.0 318:9.0 319:7.0 320:5.0 321:8.0 322:1.0 328:10.0 329:3.0 330:6.0 331:30.0 332:20.0 333:5.0 334:2.0 335:7.0 336:8.0 338:4.0 341:29.0 342:7.0 343:2.0 344:2.0 345:4.0 348:4.0 349:10.0 351:6.0 353:3.0 356:16.0 357:172.0 358:53.0 359:26.0 360:6.0 361:2.0 363:1.0 364:1.0 368:9.0 370:5.0 371:5.0 372:14.0 373:12.0 374:7.0 375:2.0 376:6.0 377:4.0 378:2.0 379:4.0 380:6.0 381:2.0 382:5.0 383:15.0 384:5.0 385:3.0 386:85.0 387:626.0 388:277.0 389:144.0 390:29.0 391:16.0 392:5.0 393:5.0 394:3.0 395:6.0 397:3.0 399:1.0 402:8.0 403:6.0 404:1.0 405:7.0 407:6.0 408:12.0 411:8.0 413:1.0 415:2.0 416:2.0 417:3.0 418:2.0 420:2.0 421:7.0 422:3.0 423:2.0 425:7.0 426:6.0 428:5.0 429:9.0 430:8.0 431:4.0 434:11.0 436:1.0 437:4.0 438:1.0 439:2.0 440:1.0 441:4.0 442:6.0 443:4.0 444:2.0 445:1.0 446:4.0 447:7.0 448:4.0 450:3.0 451:1.0 452:6.0 454:1.0 456:11.0 457:3.0 459:1.0 460:1.0 461:8.0 463:9.0 464:8.0 465:4.0 466:1.0 467:4.0 468:4.0 469:11.0 470:14.0 471:73.0 472:45.0 473:26.0 474:11.0 475:5.0 476:2.0 477:1.0 478:4.0 479:5.0 482:4.0 483:7.0 484:3.0 485:5.0 487:5.0 488:5.0 489:3.0 492:7.0 493:5.0 494:6.0 495:5.0 496:2.0 498:4.0 499:4.0 500:6.0</t>
  </si>
  <si>
    <t>211980</t>
  </si>
  <si>
    <t>265697</t>
  </si>
  <si>
    <t>85:58.0 86:582.0 88:106.0 91:186.0 92:26.0 93:25.0 94:11.0 95:50.0 100:111.0 102:197.0 103:520.0 104:84.0 105:35.0 106:40.0 107:279.0 108:47.0 109:58.0 110:1125.0 111:53.0 112:3.0 113:2.0 114:109.0 116:94.0 117:667.0 118:99.0 119:100.0 120:67.0 121:67.0 122:4.0 123:10.0 125:1.0 126:2.0 127:9.0 130:2323.0 131:762.0 132:171.0 133:603.0 134:1004.0 135:265.0 136:53.0 137:129.0 138:134.0 139:8.0 140:21.0 141:4.0 142:4.0 143:25.0 144:623.0 145:65.0 146:85.0 147:4817.0 148:833.0 149:387.0 150:21.0 151:1991.0 152:231.0 153:143.0 154:25.0 155:31.0 156:2.0 157:7.0 159:47.0 162:43.0 163:5.0 164:4.0 165:9.0 166:74.0 167:2.0 168:1.0 169:1.0 170:47.0 174:1223.0 175:160.0 176:51.0 177:98.0 178:16.0 179:8.0 181:1.0 182:1.0 183:35.0 184:281.0 185:176.0 186:42.0 187:10.0 188:1019.0 189:465.0 190:103.0 191:25.0 192:22.0 193:8.0 194:5.0 195:9.0 196:2.0 197:3.0 203:190.0 204:25.0 207:9.0 213:2.0 214:7.0 215:1.0 219:34.0 220:10.0 221:8.0 222:4.0 224:5.0 225:4.0 226:3.0 227:1.0 228:1.0 229:3.0 233:7.0 234:3.0 235:4.0 236:1.0 237:2.0 238:5.0 239:2.0 240:1.0 242:3.0 249:6.0 251:2.0 252:4.0 253:7.0 254:4.0 256:1.0 257:3.0 258:417.0 259:76.0 260:20.0 262:1.0 263:4.0 264:2.0 265:5.0 266:4.0 268:12.0 269:7.0 270:5.0 271:4.0 274:1.0 275:1.0 276:1.0 281:5.0 283:3.0 285:4.0 287:3.0 293:1.0 294:3.0 296:1.0 298:3.0 299:2.0 300:1.0 304:1.0 309:1.0 313:1.0 314:6.0 315:1.0 318:2.0 319:3.0 321:3.0 323:4.0 324:2.0 325:2.0 330:2.0 331:1.0 332:2.0 335:1.0 339:6.0 340:1.0 341:2.0 342:1.0 348:3.0 349:1.0 352:2.0 353:2.0 354:2.0 355:11.0 356:7.0 357:5.0 358:5.0 359:2.0 365:1.0 367:1.0 368:1.0 369:1.0 374:3.0 376:2.0 377:3.0 378:5.0 386:2.0 396:1.0 398:3.0 399:2.0 402:1.0 403:1.0 407:1.0 408:2.0 409:1.0 410:1.0 414:1.0 416:1.0 418:1.0 419:1.0 421:1.0 422:4.0 427:1.0 429:1.0 430:1.0 432:1.0 437:4.0 438:6.0 440:5.0 442:3.0 444:2.0 446:1.0 447:1.0 459:2.0 464:1.0 467:3.0 471:3.0 475:1.0 477:4.0 478:2.0 481:5.0 483:3.0 488:2.0 490:2.0 492:1.0 493:1.0 494:3.0 499:1.0</t>
  </si>
  <si>
    <t>211382</t>
  </si>
  <si>
    <t>773139</t>
  </si>
  <si>
    <t>85:2.0 86:6.0 87:5.0 89:4.0 93:1.0 99:6.0 100:5.0 101:5.0 103:13.0 104:3.0 107:5.0 109:26.0 110:1.0 111:8.0 112:3.0 113:24.0 115:3.0 116:2.0 117:1.0 119:5.0 120:2.0 121:7.0 125:7.0 126:7.0 127:20.0 128:1.0 129:136.0 130:3.0 131:34.0 132:6.0 133:147.0 134:4.0 135:15.0 136:3.0 137:6.0 139:6.0 141:7.0 142:18.0 143:25.0 146:2.0 147:492.0 148:45.0 149:25.0 150:1.0 151:3.0 152:1.0 154:5.0 155:25.0 156:19.0 160:3.0 165:3.0 166:3.0 167:8.0 169:14.0 170:1.0 172:5.0 174:5.0 176:1.0 177:2.0 180:3.0 181:30.0 182:8.0 183:16.0 184:3.0 187:1.0 190:5.0 191:47.0 192:9.0 193:4.0 195:8.0 196:3.0 198:2.0 200:5.0 203:9.0 204:9.0 206:1.0 207:12.0 209:2.0 210:1.0 211:190.0 212:19.0 213:13.0 214:2.0 215:7.0 216:11.0 217:30.0 218:2.0 219:2.0 221:1.0 224:1.0 225:10.0 226:7.0 227:170.0 228:28.0 229:1.0 230:13.0 235:1.0 238:1.0 239:17.0 241:6.0 242:18.0 243:66.0 244:11.0 250:2.0 252:3.0 254:1.0 255:20.0 256:8.0 257:7.0 260:1.0 263:1.0 264:7.0 268:2.0 269:7.0 270:12.0 271:6.0 272:2.0 273:3.0 277:2.0 278:2.0 281:3.0 282:2.0 283:2.0 286:2.0 287:2.0 288:1.0 293:5.0 298:3.0 299:115.0 300:24.0 301:8.0 305:4.0 306:6.0 307:3.0 308:1.0 309:4.0 312:5.0 313:3.0 315:48.0 316:15.0 317:8.0 318:6.0 319:9.0 324:4.0 326:2.0 327:1.0 329:3.0 330:1.0 332:4.0 333:3.0 334:2.0 336:10.0 342:55.0 343:13.0 344:8.0 345:4.0 348:1.0 349:2.0 354:2.0 359:6.0 366:1.0 371:1.0 373:6.0 374:1.0 376:6.0 378:3.0 379:4.0 380:1.0 381:1.0 383:1.0 384:1.0 386:1.0 387:3.0 388:1.0 389:2.0 390:3.0 392:1.0 393:2.0 394:2.0 395:2.0 398:5.0 399:1.0 400:1.0 401:1.0 403:1.0 404:2.0 406:3.0 408:5.0 409:2.0 410:4.0 411:1.0 414:1.0 421:2.0 422:12.0 425:3.0 427:2.0 428:1.0 431:1.0 432:2.0 434:2.0 448:1.0 449:1.0 451:3.0 453:2.0 456:2.0 462:3.0 463:2.0 464:2.0 465:3.0 470:1.0 471:3.0 473:2.0 474:1.0 475:1.0 476:3.0 477:3.0 478:4.0 480:2.0 482:3.0 484:1.0 486:1.0 487:2.0 489:1.0 491:1.0 492:1.0 494:3.0 496:2.0 497:1.0</t>
  </si>
  <si>
    <t>210286</t>
  </si>
  <si>
    <t>701682</t>
  </si>
  <si>
    <t>85:1289.0 86:1081.0 87:1304.0 88:702.0 89:17656.0 90:1578.0 91:1561.0 92:44.0 93:48.0 94:67.0 95:185.0 96:118.0 97:930.0 98:403.0 99:1300.0 100:12235.0 101:6644.0 102:4796.0 103:19766.0 104:2141.0 105:2651.0 106:474.0 107:129.0 108:27.0 109:86.0 110:139.0 111:978.0 112:230.0 113:1430.0 114:660.0 115:2206.0 116:2814.0 117:7152.0 118:948.0 119:1566.0 120:159.0 121:89.0 122:20.0 123:12.0 124:23.0 125:115.0 126:343.0 127:837.0 128:888.0 129:14435.0 130:3139.0 131:5282.0 132:2163.0 133:9258.0 134:1292.0 135:846.0 136:77.0 137:50.0 138:28.0 139:52.0 140:119.0 141:384.0 142:967.0 143:3332.0 144:727.0 145:1363.0 146:560.0 147:38430.0 148:11770.0 149:5276.0 150:917.0 151:391.0 152:121.0 153:370.0 154:238.0 155:693.0 156:324.0 157:5047.0 158:1041.0 159:892.0 160:1546.0 161:865.0 162:109.0 163:1180.0 164:139.0 165:79.0 166:16.0 167:16.0 168:110.0 169:1664.0 170:395.0 171:342.0 172:1342.0 173:561.0 174:409.0 175:688.0 176:95.0 177:534.0 178:53.0 179:19.0 180:108.0 181:23.0 182:197.0 183:52.0 184:4.0 185:44.0 186:88.0 187:185.0 188:127.0 189:4525.0 190:1514.0 191:2528.0 192:536.0 193:193.0 194:14.0 195:36.0 196:141.0 197:58.0 198:49.0 199:44.0 200:139.0 201:342.0 202:244.0 203:1489.0 204:64372.0 205:16476.0 206:6681.0 207:1494.0 208:278.0 209:78.0 210:36.0 211:20.0 212:28.0 213:5.0 214:227.0 215:645.0 216:432.0 217:17830.0 218:4635.0 219:2126.0 220:12900.0 221:3142.0 222:1364.0 223:178.0 224:35.0 225:10.0 226:20.0 227:43.0 228:48.0 229:998.0 230:1012.0 231:1018.0 232:310.0 233:1818.0 234:350.0 235:148.0 236:18.0 237:9.0 238:3.0 240:25.0 241:31.0 242:141.0 243:1311.0 244:504.0 245:240.0 246:145.0 247:143.0 248:23.0 249:7.0 251:2.0 254:1.0 256:21.0 257:35.0 258:25.0 259:611.0 260:142.0 261:55.0 262:106.0 263:19.0 264:3.0 265:12.0 268:45.0 269:17.0 270:120.0 271:80.0 272:19.0 273:14.0 274:117.0 275:36.0 276:8.0 277:125.0 278:36.0 279:7.0 285:1.0 286:4.0 288:6.0 289:3.0 290:1.0 291:292.0 292:48.0 293:17.0 294:20.0 295:7.0 300:3.0 302:26.0 303:17.0 304:74.0 305:588.0 306:136.0 315:2.0 316:10.0 317:72.0 318:110.0 319:7542.0 320:2424.0 321:1300.0 322:175.0 323:16.0 324:5.0 328:2.0 330:6.0 331:64.0 332:67.0 333:110.0 334:22.0 335:2.0 337:2.0 339:6.0 342:8.0 343:6.0 346:1.0 350:1.0 351:6.0 358:7.0 359:2.0 360:9.0 361:65.0 362:16.0 363:6.0 364:28.0 365:26.0 367:1.0 368:2.0 372:1.0 377:4.0 378:6.0 381:3.0 383:1.0 385:2.0 388:2.0 402:1.0 419:4.0 420:3.0 431:3.0 432:2.0 447:3.0 449:10.0 460:1.0 465:2.0 466:7.0 467:2.0 472:3.0 479:1.0 492:3.0</t>
  </si>
  <si>
    <t>208664</t>
  </si>
  <si>
    <t>505151</t>
  </si>
  <si>
    <t>90:150.0 91:13.0 92:8.0 97:39.0 100:9.0 103:43.0 105:11.0 107:20.0 112:5.0 117:18.0 127:5.0 131:14.0 134:6.0 140:1342.0 141:28.0 142:1.0 143:33.0 146:6.0 147:2.0 166:1088.0 167:36.0 184:183.0 200:18.0 209:383.0 210:9.0 223:13.0 301:1.0 313:1.0 370:3.0 409:1.0 461:1.0</t>
  </si>
  <si>
    <t>208481</t>
  </si>
  <si>
    <t>389884</t>
  </si>
  <si>
    <t>85:759.0 86:17.0 91:14.0 93:19.0 96:7.0 97:13.0 98:3.0 99:73.0 100:2.0 107:22.0 110:12.0 112:6.0 113:53.0 123:1.0 126:14.0 127:25.0 130:6.0 141:50.0 147:14.0 148:1.0 155:1.0 169:1.0 170:1.0 179:2.0 210:1.0 245:1.0 259:2.0 261:1.0 264:1.0 265:1.0 278:1.0 310:1.0 319:1.0 333:1.0 338:1.0 351:3.0 353:2.0 358:2.0 369:2.0 370:3.0 379:1.0 383:2.0 390:1.0 395:5.0 402:2.0 410:1.0 411:1.0 423:1.0 433:1.0 437:2.0 439:1.0 446:1.0 451:1.0 459:1.0 462:1.0 476:1.0 480:1.0 488:1.0</t>
  </si>
  <si>
    <t>207223</t>
  </si>
  <si>
    <t>417541</t>
  </si>
  <si>
    <t>85:43.0 86:130.0 87:7.0 88:118.0 89:9.0 90:37.0 91:42.0 92:27.0 93:2.0 94:7.0 95:17.0 96:69.0 97:158.0 98:46.0 99:14.0 100:136.0 101:39.0 102:15.0 104:8.0 106:23.0 107:56.0 108:4.0 109:16.0 110:305.0 111:223.0 112:160.0 113:30.0 114:87.0 116:35.0 117:2.0 118:43.0 119:16.0 121:2.0 123:9.0 124:29.0 125:49.0 126:170.0 127:36.0 128:358.0 129:21.0 130:522.0 131:26.0 132:2.0 133:15.0 134:543.0 135:41.0 136:2.0 137:8.0 138:2.0 139:6.0 140:215.0 141:52.0 142:2728.0 143:390.0 144:107.0 145:7.0 150:3.0 151:1.0 152:27.0 153:2.0 154:41.0 155:24.0 156:6.0 157:1.0 158:9.0 159:3.0 160:9.0 161:2.0 162:6.0 163:6.0 164:6.0 165:2.0 168:9.0 171:636.0 172:102.0 173:30.0 176:4.0 179:23.0 181:1.0 183:3.0 184:75.0 186:5.0 189:2.0 191:6.0 192:3.0 194:7.0 195:20.0 198:22.0 199:32.0 200:2.0 205:3.0 207:8.0 211:1.0 212:11.0 213:4.0 214:3.0 215:5.0 217:1.0 218:4.0 219:6.0 220:2.0 221:6.0 222:2.0 223:6.0 224:1.0 225:1.0 226:12.0 227:4.0 228:3.0 229:14.0 230:7.0 233:3.0 234:1.0 237:1.0 238:4.0 239:2.0 241:9.0 242:5.0 245:3.0 247:3.0 248:2.0 249:1.0 251:3.0 252:1.0 253:127.0 254:19.0 255:6.0 256:5.0 257:3.0 261:4.0 263:1.0 264:3.0 267:17.0 268:314.0 269:40.0 270:4.0 273:12.0 274:8.0 275:2.0 276:1.0 277:10.0 278:6.0 279:4.0 280:6.0 281:12.0 284:4.0 285:3.0 287:5.0 288:7.0 289:3.0 290:3.0 292:14.0 294:6.0 297:1.0 304:6.0 309:5.0 310:8.0 313:9.0 314:7.0 317:7.0 318:3.0 320:1.0 321:1.0 324:18.0 326:6.0 327:4.0 328:13.0 329:12.0 330:2.0 331:2.0 334:13.0 339:5.0 340:16.0 344:2.0 345:2.0 346:5.0 347:10.0 348:1.0 350:9.0 351:8.0 353:8.0 354:1.0 355:2.0 356:1.0 357:11.0 358:1.0 360:4.0 362:4.0 363:6.0 364:6.0 365:3.0 366:8.0 369:6.0 370:6.0 371:5.0 374:4.0 377:3.0 378:8.0 379:4.0 381:4.0 382:5.0 383:3.0 384:15.0 385:15.0 386:16.0 388:17.0 389:3.0 392:17.0 394:4.0 395:3.0 396:7.0 397:1.0 398:4.0 399:8.0 400:4.0 402:6.0 403:9.0 404:1.0 405:3.0 406:3.0 408:1.0 410:2.0 411:7.0 412:1.0 413:1.0 414:4.0 415:6.0 423:9.0 424:2.0 425:1.0 429:9.0 432:6.0 435:11.0 436:6.0 437:1.0 439:11.0 440:9.0 445:5.0 447:4.0 448:1.0 449:4.0 451:4.0 452:1.0 453:6.0 454:10.0 457:3.0 458:1.0 460:2.0 461:4.0 462:14.0 463:2.0 464:4.0 465:6.0 466:8.0 468:3.0 469:1.0 470:1.0 475:17.0 476:2.0 479:12.0 482:4.0 483:2.0 484:5.0 485:1.0 487:5.0 489:1.0 490:18.0 491:6.0 492:3.0 493:3.0 494:4.0 495:3.0 497:8.0 499:1.0 500:4.0</t>
  </si>
  <si>
    <t>206919</t>
  </si>
  <si>
    <t>761147</t>
  </si>
  <si>
    <t>85:1451.0 86:79.0 87:1.0 88:3.0 89:2.0 90:9.0 92:12.0 93:10.0 95:4.0 96:4.0 97:69.0 98:21.0 99:624.0 100:26.0 101:64.0 102:2.0 103:115.0 104:7.0 105:7.0 108:3.0 109:2.0 110:30.0 111:112.0 112:51.0 113:370.0 114:12.0 115:4.0 116:10.0 117:33.0 118:2.0 119:5.0 122:3.0 123:2.0 125:50.0 126:26.0 127:227.0 128:18.0 129:16.0 131:17.0 132:13.0 133:3.0 134:3.0 135:1.0 136:1.0 138:6.0 139:11.0 140:9.0 141:122.0 142:3.0 144:1.0 146:8.0 147:9.0 148:22.0 149:1.0 150:1.0 151:4.0 152:3.0 153:6.0 155:95.0 156:9.0 158:2.0 159:7.0 160:3.0 162:3.0 164:9.0 165:3.0 167:6.0 168:10.0 169:60.0 170:2.0 171:1.0 172:2.0 175:2.0 176:6.0 177:1.0 178:2.0 179:17.0 180:17.0 183:17.0 184:2.0 185:3.0 186:2.0 187:9.0 188:13.0 190:1.0 191:2.0 194:8.0 195:6.0 196:10.0 197:16.0 198:3.0 199:12.0 200:2.0 201:1.0 203:9.0 204:11.0 205:8.0 206:4.0 208:7.0 209:6.0 211:22.0 217:24.0 218:16.0 219:6.0 221:9.0 222:12.0 223:12.0 224:15.0 227:4.0 228:6.0 229:5.0 230:3.0 232:3.0 234:8.0 236:2.0 237:1.0 239:3.0 240:1.0 241:2.0 242:5.0 243:2.0 247:3.0 248:7.0 249:5.0 250:12.0 252:5.0 255:8.0 256:2.0 257:6.0 258:1.0 259:6.0 260:15.0 261:6.0 262:8.0 263:11.0 264:13.0 268:6.0 269:2.0 270:2.0 272:6.0 273:8.0 274:4.0 275:1.0 277:4.0 278:2.0 280:1.0 282:5.0 284:4.0 285:1.0 286:6.0 287:5.0 288:5.0 289:4.0 290:1.0 291:3.0 292:1.0 293:2.0 294:12.0 295:5.0 296:12.0 297:12.0 298:5.0 299:14.0 300:4.0 301:6.0 303:5.0 306:1.0 307:6.0 308:5.0 310:1.0 311:3.0 312:7.0 313:15.0 314:1.0 315:1.0 317:6.0 319:2.0 321:6.0 323:3.0 324:5.0 325:6.0 326:19.0 329:8.0 330:1.0 332:6.0 333:5.0 334:11.0 335:8.0 336:2.0 338:6.0 340:1.0 341:4.0 342:1.0 344:2.0 345:4.0 346:2.0 347:4.0 348:8.0 352:2.0 353:2.0 354:2.0 355:4.0 357:6.0 358:5.0 359:6.0 360:2.0 362:1.0 365:1.0 366:3.0 367:2.0 368:15.0 369:6.0 370:6.0 371:6.0 372:3.0 373:3.0 374:9.0 375:8.0 376:3.0 377:10.0 379:6.0 380:7.0 381:1.0 382:2.0 383:6.0 386:1.0 387:3.0 388:7.0 389:9.0 390:9.0 392:6.0 393:7.0 394:9.0 395:10.0 396:3.0 397:8.0 398:5.0 400:1.0 401:1.0 405:4.0 406:2.0 407:1.0 408:8.0 410:6.0 412:2.0 414:1.0 415:5.0 416:10.0 417:6.0 418:2.0 419:2.0 420:5.0 422:1.0 423:2.0 424:10.0 425:5.0 427:11.0 429:1.0 431:18.0 432:3.0 435:6.0 437:1.0 438:1.0 439:6.0 441:5.0 442:6.0 443:3.0 444:2.0 445:4.0 446:3.0 447:1.0 448:3.0 449:4.0 450:4.0 451:4.0 452:1.0 454:3.0 456:9.0 458:10.0 459:6.0 460:14.0 461:13.0 464:3.0 465:24.0 466:7.0 467:1.0 468:4.0 469:9.0 470:7.0 471:1.0 472:3.0 473:4.0 474:2.0 475:3.0 476:3.0 477:1.0 480:7.0 481:10.0 482:3.0 483:8.0 484:6.0 487:6.0 488:9.0 490:11.0 491:9.0 492:4.0 493:4.0 495:2.0 496:5.0 498:7.0 499:4.0 500:12.0</t>
  </si>
  <si>
    <t>206308</t>
  </si>
  <si>
    <t>563255</t>
  </si>
  <si>
    <t>85:187.0 86:301.0 87:63.0 88:23.0 89:538.0 90:42.0 91:19.0 92:4.0 93:19.0 94:12.0 95:47.0 96:38.0 97:22.0 98:273.0 99:201.0 100:1112.0 101:101.0 102:107.0 103:161.0 104:22.0 106:11.0 107:16.0 108:8.0 109:4.0 110:72.0 111:40.0 112:95.0 113:91.0 115:156.0 117:65.0 118:4.0 120:16.0 122:14.0 123:10.0 124:1.0 125:84.0 126:117.0 127:135.0 128:272.0 129:160.0 130:224.0 131:67.0 133:358.0 134:44.0 135:16.0 136:3.0 139:2.0 141:436.0 142:446.0 143:71.0 145:1.0 147:1109.0 148:126.0 149:35.0 151:12.0 153:98.0 154:94.0 157:10.0 158:57.0 160:18.0 161:10.0 162:20.0 163:13.0 167:14.0 168:10.0 169:8.0 170:9.0 174:95.0 175:26.0 183:4.0 187:15.0 188:14.0 189:18.0 191:6.0 193:1.0 196:5.0 197:2.0 198:26.0 201:25.0 202:9.0 206:10.0 209:1.0 210:2.0 212:2.0 213:130.0 215:38.0 216:22.0 217:32.0 224:7.0 226:1.0 227:53.0 231:23.0 233:4.0 236:4.0 237:5.0 239:4.0 240:23.0 241:26.0 242:15.0 243:1959.0 244:392.0 245:140.0 246:9.0 247:8.0 250:2.0 251:3.0 252:17.0 253:2.0 256:19.0 257:24.0 260:8.0 261:2.0 263:9.0 264:27.0 265:5.0 266:3.0 268:20.0 271:6.0 274:4.0 278:1.0 279:42.0 284:5.0 290:4.0 291:7.0 292:4.0 293:8.0 294:35.0 296:15.0 297:3.0 300:2.0 303:6.0 304:19.0 306:7.0 307:9.0 311:1.0 314:2.0 315:2.0 317:209.0 318:68.0 319:67.0 322:8.0 323:11.0 326:17.0 329:5.0 330:6.0 332:14.0 333:7.0 335:10.0 336:9.0 337:1.0 338:1.0 339:5.0 344:21.0 345:138.0 346:29.0 347:20.0 348:3.0 351:7.0 352:1.0 353:1.0 354:9.0 355:7.0 357:1.0 358:5.0 359:14.0 360:13.0 361:7.0 362:10.0 365:21.0 366:6.0 367:4.0 369:2.0 371:5.0 372:2.0 373:5.0 374:9.0 377:15.0 379:1.0 380:3.0 381:5.0 382:6.0 383:2.0 384:1.0 385:2.0 387:11.0 388:6.0 389:8.0 390:2.0 392:9.0 393:4.0 394:7.0 395:1.0 396:2.0 398:17.0 399:13.0 401:12.0 402:6.0 404:9.0 405:9.0 406:9.0 407:5.0 408:16.0 409:7.0 410:7.0 412:3.0 413:4.0 416:6.0 417:4.0 418:7.0 420:7.0 421:3.0 422:2.0 423:7.0 424:5.0 425:3.0 426:10.0 429:1.0 430:4.0 431:20.0 432:1.0 434:2.0 435:4.0 437:16.0 440:9.0 442:4.0 444:6.0 445:10.0 446:9.0 447:4.0 448:16.0 450:4.0 453:4.0 455:17.0 456:8.0 458:11.0 460:9.0 461:1.0 462:3.0 463:4.0 466:4.0 467:2.0 468:11.0 469:12.0 472:8.0 473:19.0 474:5.0 478:16.0 479:9.0 480:2.0 481:3.0 482:9.0 483:25.0 484:1.0 485:3.0 487:3.0 488:12.0 490:1.0 492:3.0 493:16.0 494:3.0 495:11.0 496:16.0 497:3.0 498:2.0</t>
  </si>
  <si>
    <t>206022</t>
  </si>
  <si>
    <t>470680</t>
  </si>
  <si>
    <t>85:2025.0 86:124.0 87:3.0 88:1.0 91:9.0 93:32.0 94:10.0 95:8.0 97:28.0 98:59.0 99:564.0 100:21.0 101:86.0 103:9.0 106:9.0 109:3.0 111:117.0 112:30.0 113:334.0 114:2.0 116:7.0 117:56.0 123:1.0 124:12.0 125:9.0 126:31.0 127:113.0 128:4.0 130:20.0 131:27.0 138:1.0 141:19.0 142:7.0 145:3.0 146:3.0 150:4.0 152:4.0 155:76.0 156:4.0 167:2.0 168:10.0 169:38.0 170:2.0 172:6.0 173:2.0 181:1.0 182:1.0 183:5.0 184:1.0 188:3.0 194:1.0 196:1.0 198:3.0 200:3.0 207:3.0 211:16.0 212:4.0 216:1.0 222:10.0 224:4.0 225:14.0 226:1.0 228:1.0 236:2.0 238:6.0 239:6.0 243:5.0 250:1.0 253:4.0 255:5.0 257:3.0 267:1.0 269:1.0 280:1.0 281:4.0 282:2.0 283:3.0 287:2.0 288:2.0 301:7.0 303:5.0 307:1.0 308:1.0 309:3.0 310:1.0 312:3.0 314:4.0 316:1.0 317:1.0 318:1.0 331:3.0 339:4.0 344:11.0 346:11.0 347:2.0 348:1.0 356:4.0 359:8.0 360:4.0 364:5.0 366:6.0 367:4.0 370:2.0 374:5.0 375:1.0 376:3.0 378:3.0 380:2.0 383:3.0 384:3.0 385:7.0 386:4.0 387:3.0 391:4.0 394:9.0 395:1.0 396:5.0 397:3.0 399:13.0 400:1.0 402:8.0 405:2.0 408:1.0 409:4.0 410:5.0 413:12.0 415:1.0 417:3.0 418:7.0 420:5.0 421:3.0 422:1.0 425:4.0 426:4.0 427:4.0 429:1.0 430:3.0 432:2.0 433:4.0 435:1.0 436:3.0 442:4.0 445:4.0 446:5.0 449:3.0 452:1.0 454:2.0 455:1.0 456:5.0 460:1.0 461:1.0 462:3.0 463:1.0 469:3.0 470:4.0 471:2.0 472:2.0 478:2.0 479:3.0 480:1.0 481:3.0 482:3.0 483:9.0 485:2.0 488:4.0 492:3.0 494:2.0 495:5.0 498:3.0 499:2.0</t>
  </si>
  <si>
    <t>204448</t>
  </si>
  <si>
    <t>680705</t>
  </si>
  <si>
    <t>85:4902.0 86:320.0 87:48.0 89:269.0 91:35.0 92:57.0 95:87.0 97:42.0 98:101.0 99:1803.0 100:214.0 101:106.0 102:21.0 103:495.0 104:14.0 109:39.0 110:91.0 111:344.0 112:221.0 113:1090.0 114:118.0 116:60.0 117:201.0 122:3.0 124:25.0 125:159.0 126:192.0 127:659.0 128:79.0 129:536.0 130:91.0 131:44.0 132:18.0 133:312.0 138:14.0 139:13.0 140:38.0 141:303.0 142:39.0 143:30.0 144:27.0 147:718.0 148:97.0 149:70.0 152:21.0 153:42.0 154:76.0 155:292.0 156:49.0 157:53.0 159:11.0 160:11.0 161:19.0 163:3.0 166:15.0 167:3.0 168:48.0 169:227.0 170:71.0 173:1.0 177:3.0 179:8.0 181:10.0 182:5.0 183:37.0 184:18.0 186:9.0 188:11.0 189:108.0 190:44.0 191:41.0 196:7.0 197:46.0 198:14.0 200:7.0 201:1.0 202:7.0 203:8.0 210:3.0 211:38.0 213:2.0 214:13.0 215:17.0 216:8.0 217:1307.0 218:184.0 219:75.0 220:6.0 221:4.0 223:2.0 225:2.0 226:9.0 228:9.0 229:7.0 230:27.0 231:22.0 232:13.0 233:15.0 234:8.0 236:6.0 237:2.0 238:2.0 239:14.0 241:4.0 242:8.0 243:37.0 244:32.0 245:10.0 246:93.0 247:15.0 248:14.0 249:1.0 251:13.0 252:2.0 253:7.0 254:6.0 255:9.0 256:8.0 257:8.0 259:9.0 260:2.0 261:4.0 263:4.0 266:1.0 268:3.0 269:1.0 270:2.0 271:24.0 272:6.0 273:6.0 274:14.0 275:3.0 277:4.0 278:9.0 282:3.0 283:7.0 284:21.0 286:1.0 287:1.0 288:4.0 292:31.0 293:30.0 294:13.0 295:1.0 296:3.0 297:1.0 298:1.0 302:3.0 304:1.0 305:41.0 306:18.0 308:1.0 309:1.0 310:8.0 311:3.0 312:9.0 313:2.0 314:19.0 315:11.0 316:4.0 318:21.0 319:36.0 320:1.0 322:8.0 324:11.0 326:3.0 327:8.0 329:1.0 330:3.0 331:28.0 332:17.0 333:36.0 334:7.0 338:10.0 339:5.0 340:9.0 341:1.0 342:9.0 343:4.0 345:12.0 346:3.0 350:5.0 351:1.0 352:13.0 354:2.0 355:7.0 357:3.0 358:6.0 359:2.0 360:9.0 361:43.0 362:14.0 363:7.0 364:11.0 365:7.0 366:7.0 367:4.0 368:1.0 372:9.0 373:1.0 376:1.0 378:8.0 380:13.0 382:5.0 384:6.0 385:6.0 387:2.0 388:7.0 389:6.0 390:1.0 391:2.0 393:2.0 394:5.0 395:4.0 396:4.0 397:1.0 398:3.0 401:4.0 403:11.0 404:5.0 406:7.0 408:5.0 409:10.0 412:9.0 413:6.0 414:7.0 416:6.0 417:4.0 420:2.0 422:3.0 424:2.0 425:1.0 426:1.0 428:2.0 429:6.0 430:3.0 431:2.0 432:5.0 433:5.0 434:10.0 435:4.0 437:6.0 439:11.0 440:1.0 441:1.0 442:2.0 443:3.0 445:8.0 446:2.0 447:16.0 449:1.0 451:1.0 454:3.0 455:1.0 456:5.0 457:6.0 458:9.0 459:2.0 460:6.0 462:4.0 463:1.0 464:1.0 466:1.0 467:6.0 468:11.0 470:7.0 471:3.0 473:1.0 474:5.0 475:2.0 476:1.0 477:11.0 478:2.0 479:1.0 480:2.0 481:4.0 482:6.0 483:1.0 484:1.0 485:8.0 486:3.0 487:6.0 488:7.0 489:6.0 490:10.0 491:2.0 492:8.0 493:8.0 494:7.0 495:6.0 496:1.0 497:7.0 498:2.0 499:1.0 500:5.0</t>
  </si>
  <si>
    <t>204426</t>
  </si>
  <si>
    <t>479219</t>
  </si>
  <si>
    <t>85:100.0 88:2.0 89:94.0 90:1.0 91:84.0 92:10.0 93:38.0 94:2.0 101:431.0 103:63.0 104:13.0 105:32.0 106:7.0 107:138.0 108:7.0 109:131.0 110:7.0 114:10.0 116:528.0 117:333.0 118:25.0 121:228.0 122:10.0 123:478.0 124:14.0 125:201.0 129:57.0 131:22.0 134:13.0 137:215.0 138:158.0 139:296.0 140:287.0 141:28.0 142:29.0 143:122.0 146:3.0 148:5.0 152:7.0 153:458.0 154:85.0 155:9270.0 156:870.0 157:981.0 158:678.0 159:108.0 160:5.0 163:5.0 165:1.0 167:16.0 168:11.0 169:158.0 170:15.0 171:3616.0 172:229.0 173:81.0 175:2.0 176:4.0 181:124.0 182:1.0 183:88.0 184:107.0 185:20.0 186:256.0 187:24.0 188:7.0 196:1.0 197:223.0 198:35.0 199:88.0 201:9.0 202:2.0 203:1.0 204:6.0 211:202.0 213:1.0 217:18.0 219:2.0 224:2.0 225:12.0 226:5.0 227:632.0 228:61.0 229:10.0 235:1.0 237:5.0 238:3.0 239:25.0 247:1.0 251:17.0 252:1.0 253:3.0 258:1.0 261:1.0 263:5.0 267:41.0 268:4.0 270:1.0 273:1.0 275:5.0 277:1.0 280:1.0 293:3.0 302:2.0 305:1.0 306:1.0 308:1.0 333:1.0 346:1.0 347:1.0 359:1.0 366:1.0 368:3.0 369:1.0 385:1.0 388:1.0 389:1.0 406:1.0 409:1.0 413:1.0 421:1.0 426:3.0 431:2.0 435:3.0 436:2.0 439:5.0 444:2.0 445:5.0 449:1.0 455:2.0 458:2.0 462:1.0 468:5.0 469:3.0 498:2.0</t>
  </si>
  <si>
    <t>204425</t>
  </si>
  <si>
    <t>448206</t>
  </si>
  <si>
    <t>350</t>
  </si>
  <si>
    <t>85:573.0 86:3940.0 87:7186.0 88:951.0 89:667.0 90:38.0 92:21.0 93:23.0 95:39.0 96:8.0 97:23.0 98:24.0 99:129.0 100:2533.0 101:2540.0 102:845.0 103:1656.0 104:185.0 105:894.0 106:90.0 107:99.0 108:11.0 109:4.0 112:44.0 113:304.0 114:146.0 115:1075.0 116:455.0 117:3014.0 118:581.0 119:931.0 120:91.0 121:28.0 126:34.0 127:24.0 128:3.0 129:496.0 130:701.0 131:6858.0 132:2665.0 133:6553.0 134:958.0 135:476.0 136:41.0 137:4.0 138:18.0 143:53.0 144:240.0 145:141.0 146:469.0 147:29147.0 148:4583.0 149:2389.0 150:194.0 151:43.0 152:1.0 157:11.0 158:178.0 159:116.0 160:4260.0 161:804.0 162:321.0 163:155.0 165:14.0 167:5.0 171:3.0 172:14.0 173:14.0 174:816.0 175:280.0 176:114.0 177:184.0 178:33.0 179:16.0 180:7.0 182:3.0 184:11.0 186:6.0 187:8.0 188:2082.0 189:885.0 190:401.0 191:636.0 192:107.0 193:1045.0 194:157.0 195:89.0 196:1.0 198:8.0 201:1.0 202:45.0 203:106.0 204:163.0 205:1233.0 206:278.0 207:4764.0 208:1112.0 209:530.0 210:68.0 211:6.0 215:6.0 216:6.0 217:51.0 218:215.0 219:141.0 220:71.0 221:2521.0 222:524.0 223:295.0 224:49.0 225:29.0 226:5.0 232:38.0 233:10.0 234:250.0 235:1163.0 236:261.0 237:155.0 238:22.0 239:5.0 241:1.0 245:3.0 246:186.0 247:63.0 248:356.0 249:236.0 250:70.0 251:18.0 253:3.0 257:34.0 258:5.0 261:4.0 262:2199.0 263:651.0 264:288.0 265:50.0 266:1.0 267:10.0 272:1.0 275:13.0 276:368.0 277:142.0 278:84.0 279:16.0 280:2.0 281:15.0 283:10.0 289:1.0 292:38.0 293:33.0 294:12.0 295:3.0 298:1.0 299:20.0 301:6.0 302:2.0 304:4.0 306:3.0 307:1.0 310:2.0 311:1.0 312:2.0 315:2.0 316:3.0 318:2.0 319:1.0 320:12.0 321:6.0 322:2.0 323:10.0 336:5.0 349:264.0 350:7059.0 351:3058.0 352:1561.0 353:399.0 354:92.0 355:19.0 356:7.0 357:1.0 358:1.0 360:2.0 364:5.0 365:428.0 366:187.0 367:82.0 368:2.0 396:1.0 397:4.0 407:2.0 413:2.0 431:1.0 453:3.0 454:1.0 457:1.0 469:1.0 475:2.0 493:3.0</t>
  </si>
  <si>
    <t>204344</t>
  </si>
  <si>
    <t>246354</t>
  </si>
  <si>
    <t>86:308.0 87:101.0 88:30.0 89:47.0 90:3.0 91:6.0 92:4.0 94:7.0 99:46.0 100:172.0 101:45.0 102:40.0 103:28.0 105:5.0 108:4.0 110:8.0 113:22.0 114:3.0 115:74.0 117:193.0 118:2.0 119:41.0 125:24.0 128:183.0 129:12.0 130:40.0 131:202.0 132:62.0 133:110.0 134:12.0 137:18.0 142:6.0 143:28.0 144:17.0 146:21.0 147:3162.0 148:481.0 149:247.0 150:17.0 151:5.0 152:1.0 154:3.0 155:20.0 156:13.0 160:2.0 165:1.0 169:1.0 171:19.0 172:5.0 174:371.0 175:51.0 176:13.0 189:1.0 191:5.0 199:1.0 202:41.0 203:12.0 204:523.0 205:88.0 206:35.0 207:3.0 209:2.0 211:2.0 212:2.0 219:15.0 220:2.0 221:3.0 222:1.0 223:3.0 225:6.0 231:7.0 232:1.0 236:3.0 237:1.0 240:7.0 247:1.0 250:1.0 251:9.0 252:3.0 262:2.0 265:6.0 280:2.0 281:14.0 282:1.0 285:2.0 287:2.0 288:1.0 292:5.0 300:3.0 301:1.0 303:1.0 308:1.0 309:2.0 312:1.0 319:3.0 320:2.0 323:3.0 328:3.0 337:1.0 338:2.0 339:2.0 343:1.0 346:1.0 348:1.0 362:2.0 363:3.0 369:1.0 370:3.0 375:3.0 381:1.0 389:1.0 392:2.0 398:4.0 401:1.0 402:2.0 405:2.0 407:2.0 411:5.0 416:1.0 424:1.0 425:1.0 426:4.0 432:1.0 441:1.0 445:4.0 446:1.0 447:1.0 448:4.0 451:3.0 452:1.0 453:2.0 454:2.0 455:1.0 458:3.0 462:3.0 465:2.0 481:2.0 489:2.0 490:4.0 494:2.0 495:2.0</t>
  </si>
  <si>
    <t>203765</t>
  </si>
  <si>
    <t>856253</t>
  </si>
  <si>
    <t>85:124.0 86:40.0 87:7.0 89:77.0 90:13.0 92:1.0 93:3.0 94:5.0 95:35.0 96:12.0 97:65.0 98:53.0 99:37.0 100:7.0 101:12.0 102:14.0 103:236.0 105:15.0 106:5.0 107:3.0 108:11.0 109:5.0 110:1.0 111:22.0 112:12.0 113:5.0 116:203.0 117:1644.0 118:130.0 119:10.0 120:6.0 121:17.0 122:10.0 123:3.0 124:3.0 125:9.0 126:10.0 127:22.0 128:31.0 129:562.0 130:46.0 131:205.0 132:567.0 133:243.0 134:24.0 135:3.0 136:48.0 137:7.0 140:6.0 141:3.0 143:196.0 144:236.0 145:343.0 146:38.0 147:550.0 148:71.0 149:48.0 151:6.0 152:9.0 154:30.0 155:10.0 156:6.0 157:3.0 158:3.0 159:29.0 160:4.0 161:3.0 164:3.0 165:1.0 166:3.0 167:11.0 168:28.0 169:12.0 170:15.0 171:14.0 172:10.0 173:5.0 174:12.0 175:10.0 179:1.0 181:1.0 182:11.0 183:3.0 184:6.0 185:25.0 186:452.0 187:91.0 188:31.0 189:9.0 190:7.0 191:19.0 193:7.0 196:3.0 197:25.0 198:7.0 199:5.0 201:26.0 202:9.0 203:3.0 204:19.0 205:20.0 207:15.0 208:3.0 209:3.0 210:3.0 212:4.0 213:6.0 214:7.0 215:5.0 216:7.0 217:62.0 218:23.0 221:6.0 222:1.0 224:3.0 225:59.0 226:14.0 227:5.0 228:3.0 229:3.0 230:11.0 232:3.0 234:5.0 239:7.0 242:1.0 243:6.0 244:1.0 245:7.0 250:11.0 254:6.0 255:9.0 256:1.0 257:3.0 258:6.0 259:39.0 260:10.0 261:7.0 263:9.0 265:3.0 266:10.0 268:1.0 269:7.0 270:10.0 271:2.0 272:3.0 273:3.0 274:3.0 277:10.0 278:10.0 283:15.0 284:18.0 285:1001.0 286:228.0 287:84.0 288:10.0 289:1.0 290:7.0 291:11.0 292:10.0 293:5.0 294:3.0 295:1.0 298:7.0 299:71.0 300:33.0 301:14.0 305:5.0 306:9.0 307:1.0 308:6.0 310:5.0 312:1.0 313:5.0 314:7.0 315:15.0 316:6.0 318:9.0 319:14.0 320:3.0 321:3.0 323:9.0 324:7.0 326:14.0 328:6.0 329:7.0 330:7.0 331:3.0 333:46.0 334:1.0 335:3.0 337:4.0 344:3.0 345:1.0 348:3.0 349:5.0 350:3.0 351:10.0 352:7.0 356:7.0 357:1.0 358:29.0 359:15.0 360:9.0 362:3.0 366:3.0 368:14.0 369:116.0 370:54.0 371:19.0 372:3.0 373:3.0 374:3.0 375:3.0 376:1.0 377:1.0 378:3.0 379:5.0 380:1.0 381:9.0 382:10.0 383:1.0 384:12.0 385:17.0 386:12.0 387:15.0 390:9.0 391:3.0 392:6.0 393:1.0 395:3.0 397:5.0 398:3.0 399:39.0 400:21.0 401:3.0 403:1.0 404:1.0 408:3.0 410:3.0 411:3.0 412:3.0 414:5.0 418:3.0 420:3.0 422:3.0 423:3.0 425:1.0 426:3.0 427:3.0 429:1.0 432:7.0 433:6.0 434:6.0 435:7.0 436:13.0 438:4.0 441:7.0 443:9.0 446:7.0 449:8.0 455:3.0 457:3.0 458:6.0 459:7.0 460:1.0 463:1.0 467:1.0 468:1.0 471:3.0 473:7.0 474:1.0 477:3.0 478:1.0 480:3.0 481:6.0 482:3.0 484:3.0 488:5.0 489:1.0 490:3.0 491:3.0 494:3.0 495:3.0 496:1.0 497:5.0 499:1.0</t>
  </si>
  <si>
    <t>203735</t>
  </si>
  <si>
    <t>365289</t>
  </si>
  <si>
    <t>85:10233.0 86:679.0 96:52.0 97:743.0 98:1343.0 99:1904.0 111:37.0 112:756.0 113:725.0 126:167.0 127:327.0 140:154.0 141:222.0 158:50.0 168:11.0 174:12.0 184:494.0 185:40.0 186:1.0 196:17.0 197:8.0 198:7.0 199:6.0 201:13.0 210:12.0 211:25.0 214:2.0 215:15.0 217:101.0 218:31.0 226:8.0 227:6.0 228:6.0 232:7.0 243:4.0 254:16.0 255:25.0 256:5.0 257:4.0 258:4.0 259:4.0 262:3.0 264:21.0 266:27.0 269:12.0 270:18.0 274:10.0 279:2.0 280:3.0 282:21.0 284:10.0 298:13.0 302:6.0 304:9.0 318:2.0 319:4.0 354:3.0 355:1.0 356:4.0 368:5.0 369:4.0 370:17.0 371:19.0 372:7.0 387:11.0 390:6.0 392:8.0 403:1.0 404:6.0 406:4.0 423:3.0 424:3.0 462:12.0 479:4.0 482:2.0 488:5.0 497:3.0 498:1.0</t>
  </si>
  <si>
    <t>202664</t>
  </si>
  <si>
    <t>353284</t>
  </si>
  <si>
    <t>85:1203.0 86:71.0 88:5.0 89:94.0 90:1.0 91:61.0 93:4.0 95:35.0 96:370.0 97:54.0 98:31.0 99:232.0 100:13.0 103:3.0 107:32.0 109:18.0 110:29.0 111:44.0 112:48.0 113:196.0 114:14.0 117:4.0 118:1.0 119:18.0 125:18.0 126:21.0 127:88.0 128:32.0 129:5.0 130:16.0 142:56.0 143:172.0 144:22.0 147:18.0 148:1.0 151:1.0 155:63.0 156:29.0 157:38.0 158:2.0 162:4.0 169:3.0 170:182.0 171:7.0 182:1.0 183:10.0 184:7.0 185:57.0 186:5.0 190:2.0 191:1.0 201:5.0 205:2.0 210:2.0 211:1.0 212:5.0 213:5.0 217:2.0 234:1.0 241:1.0 245:1.0 248:1.0 275:2.0 276:2.0 277:3.0 278:1.0 283:1.0 288:4.0 289:2.0 304:1.0 313:2.0 318:2.0 319:1.0 325:9.0 332:3.0 336:3.0 339:1.0 341:17.0 342:1.0 343:6.0 348:3.0 350:1.0 352:2.0 353:5.0 359:3.0 366:2.0 373:3.0 384:2.0 386:1.0 388:6.0 390:2.0 395:1.0 405:3.0 406:1.0 407:2.0 409:3.0 418:4.0 421:1.0 423:1.0 426:1.0 430:1.0 433:1.0 436:2.0 441:1.0 442:2.0 447:2.0 452:2.0 458:1.0 466:1.0 467:3.0 468:2.0 472:2.0 473:1.0 476:3.0 478:4.0 482:1.0 484:1.0 491:1.0 492:1.0 495:2.0 498:3.0</t>
  </si>
  <si>
    <t>202599</t>
  </si>
  <si>
    <t>570779</t>
  </si>
  <si>
    <t>85:105.0 86:55.0 87:119.0 88:30.0 89:3.0 90:610.0 91:2.0 92:22.0 93:1.0 94:4.0 95:1.0 96:11.0 97:8.0 98:9.0 99:5.0 100:167.0 101:6.0 102:100.0 103:14.0 105:7.0 106:5.0 107:14.0 109:2.0 110:8.0 112:21.0 113:38.0 114:29.0 115:197.0 116:347.0 117:27.0 118:4.0 119:12.0 120:3.0 123:2.0 124:1.0 126:20.0 128:129.0 129:9.0 130:120.0 131:375.0 132:36.0 133:72.0 134:4.0 137:2.0 138:1.0 139:141.0 140:103.0 141:3.0 142:33.0 143:4.0 144:41.0 145:56.0 146:26.0 147:263.0 148:52.0 149:26.0 153:2.0 155:537.0 156:1368.0 157:289.0 158:246.0 159:21.0 160:46.0 161:2.0 164:2.0 165:6.0 167:13.0 168:19.0 172:46.0 173:1216.0 174:131.0 175:48.0 176:1.0 177:1.0 180:1.0 185:5.0 186:9.0 190:1.0 194:4.0 197:1.0 199:4.0 201:1.0 202:2.0 204:3.0 212:5.0 220:4.0 229:98.0 230:66.0 231:5.0 232:11.0 233:1.0 239:1.0 242:3.0 244:2.0 249:3.0 254:1.0 255:1.0 257:8.0 258:6.0 259:1.0 260:2.0 262:1.0 266:1.0 267:2.0 270:1.0 271:1.0 273:2.0 275:16.0 277:6.0 278:2.0 279:2.0 280:3.0 282:1.0 289:1.0 290:3.0 295:4.0 297:1.0 299:2.0 304:5.0 311:1.0 313:1.0 314:2.0 316:1.0 319:3.0 321:1.0 326:2.0 330:6.0 332:1.0 333:2.0 336:3.0 340:3.0 344:8.0 346:1.0 348:2.0 350:4.0 352:3.0 354:2.0 356:2.0 358:1.0 362:4.0 363:8.0 364:1.0 369:2.0 371:2.0 379:1.0 381:1.0 389:1.0 390:2.0 393:4.0 394:2.0 395:3.0 403:2.0 404:1.0 406:2.0 411:3.0 415:1.0 417:1.0 419:1.0 421:3.0 432:4.0 433:6.0 435:2.0 437:2.0 441:1.0 443:2.0 448:2.0 450:3.0 455:4.0 457:1.0 463:4.0 467:1.0 468:2.0 473:9.0 477:4.0 481:1.0 485:2.0 486:1.0 491:1.0 497:2.0</t>
  </si>
  <si>
    <t>201887</t>
  </si>
  <si>
    <t>1200427</t>
  </si>
  <si>
    <t>85:2.0 86:8.0 87:5.0 89:34.0 91:1089.0 92:53.0 93:14.0 94:6.0 95:132.0 96:11.0 97:18.0 98:5.0 99:78.0 101:26.0 102:59.0 103:656.0 104:27.0 105:785.0 106:33.0 107:359.0 108:59.0 109:63.0 113:13.0 115:819.0 116:203.0 117:475.0 118:86.0 119:616.0 120:70.0 121:131.0 122:4.0 123:3.0 124:5.0 125:19.0 126:10.0 127:76.0 128:431.0 129:878.0 130:64.0 131:539.0 132:190.0 133:81.0 134:21.0 135:154.0 136:1.0 137:7.0 138:1.0 139:8.0 140:6.0 141:112.0 142:83.0 143:123.0 144:48.0 145:134.0 146:19.0 147:231.0 149:35.0 150:30.0 151:8.0 152:14.0 153:25.0 154:2.0 155:76.0 156:37.0 157:173.0 158:39.0 159:334.0 160:26.0 161:114.0 162:4.0 163:195.0 164:6.0 165:30.0 167:9.0 168:4.0 169:288.0 170:5.0 171:75.0 172:9.0 173:77.0 174:7.0 175:819.0 176:95.0 177:69.0 178:65.0 179:158.0 180:17.0 181:2.0 182:3.0 183:32.0 185:1.0 187:101.0 188:29.0 189:10.0 190:47.0 191:1253.0 192:160.0 193:121.0 194:38.0 195:7.0 196:12.0 197:173.0 198:1.0 201:11.0 203:30.0 204:471.0 205:25.0 206:105.0 207:259.0 208:103.0 209:62.0 210:25.0 211:30.0 212:13.0 213:19.0 214:4.0 215:70.0 216:5.0 217:665.0 218:165.0 219:65.0 220:2.0 222:42.0 223:41.0 224:3.0 225:50.0 226:12.0 227:4.0 229:16.0 230:27.0 231:33.0 232:6.0 233:22.0 234:4.0 235:64.0 236:11.0 237:116.0 238:5.0 239:6.0 241:12.0 243:77.0 244:21.0 245:21.0 246:23.0 247:12.0 248:2.0 249:12.0 250:20.0 251:76.0 252:18.0 253:252.0 254:39.0 255:6.0 257:52.0 258:4.0 259:7.0 260:11.0 261:5.0 263:73.0 264:11.0 265:22.0 266:21.0 267:60.0 268:3.0 269:2.0 270:3.0 271:84.0 272:10.0 273:36.0 274:18.0 275:8.0 277:12.0 278:2.0 280:8.0 281:56.0 282:33.0 283:8.0 285:3.0 287:3.0 288:7.0 289:46.0 290:7.0 291:228.0 292:25.0 293:23.0 295:17.0 297:10.0 298:2.0 299:2.0 301:5.0 302:2.0 303:21.0 304:15.0 305:50.0 306:7.0 307:18.0 308:11.0 311:6.0 313:3.0 314:4.0 315:18.0 316:745.0 317:309.0 318:13.0 319:23.0 320:8.0 321:12.0 322:1.0 323:4.0 324:19.0 325:10.0 327:29.0 329:29.0 330:1.0 331:25.0 332:12.0 333:25.0 340:12.0 341:42.0 342:5.0 343:5.0 344:2.0 345:16.0 346:9.0 347:27.0 348:2.0 349:6.0 353:2.0 354:6.0 355:26.0 356:8.0 357:11.0 358:5.0 359:1.0 360:22.0 361:437.0 362:154.0 363:71.0 364:11.0 365:8.0 367:130.0 368:43.0 369:27.0 370:3.0 371:1.0 373:4.0 374:3.0 375:4.0 376:1.0 377:6.0 378:3.0 379:5.0 380:1.0 382:2.0 383:1.0 384:2.0 385:4.0 387:18.0 388:6.0 389:1.0 390:2.0 391:5.0 394:2.0 395:4.0 396:8.0 397:10.0 398:37.0 399:2.0 401:9.0 403:15.0 406:4.0 407:11.0 408:3.0 410:2.0 414:1.0 415:2.0 416:3.0 417:12.0 418:3.0 420:2.0 421:1.0 422:3.0 423:53.0 424:13.0 425:13.0 426:2.0 427:2.0 428:3.0 429:2.0 430:3.0 431:2.0 433:3.0 435:5.0 436:4.0 437:61.0 438:9.0 439:2.0 440:9.0 441:24.0 442:6.0 443:31.0 444:5.0 445:1.0 446:1.0 447:2.0 448:2.0 449:1.0 450:1.0 451:16.0 452:21.0 457:2.0 459:8.0 460:8.0 461:7.0 463:12.0 468:5.0 472:2.0 473:4.0 474:8.0 475:2.0 476:3.0 477:1.0 478:6.0 479:34.0 480:13.0 481:2.0 482:9.0 485:3.0 486:5.0 489:11.0 490:3.0 491:11.0 492:6.0 493:10.0 494:5.0 495:2.0 496:1.0 498:3.0</t>
  </si>
  <si>
    <t>201862</t>
  </si>
  <si>
    <t>1134655</t>
  </si>
  <si>
    <t>441</t>
  </si>
  <si>
    <t>85:39.0 86:32.0 87:92.0 88:175.0 89:624.0 90:232.0 91:10610.0 92:1499.0 93:665.0 94:84.0 95:401.0 96:139.0 97:43.0 98:27.0 99:35.0 100:1.0 101:132.0 102:335.0 103:2032.0 104:869.0 105:5259.0 106:551.0 107:1858.0 108:191.0 109:317.0 110:24.0 111:31.0 113:66.0 114:58.0 115:2929.0 116:1304.0 117:4143.0 118:677.0 119:3833.0 120:443.0 121:1385.0 122:134.0 123:134.0 125:10.0 126:131.0 127:543.0 128:1460.0 129:2512.0 130:749.0 131:4113.0 132:1698.0 133:3017.0 134:639.0 135:931.0 136:148.0 137:190.0 138:10.0 139:75.0 140:6.0 141:657.0 142:381.0 143:817.0 144:378.0 145:978.0 146:311.0 147:21037.0 148:2989.0 149:3097.0 150:342.0 151:180.0 152:42.0 153:247.0 154:52.0 155:256.0 156:73.0 157:511.0 158:169.0 159:1646.0 160:267.0 161:1376.0 162:190.0 163:1737.0 164:250.0 165:304.0 166:27.0 167:14.0 168:4.0 169:1297.0 170:182.0 171:178.0 172:51.0 173:412.0 174:115.0 175:2020.0 176:323.0 177:561.0 178:92.0 179:229.0 180:13.0 181:112.0 182:118.0 183:64.0 184:88.0 185:34.0 186:11.0 187:79.0 188:27.0 189:2079.0 190:423.0 191:4702.0 192:771.0 193:592.0 194:148.0 195:126.0 196:7.0 197:94.0 198:8.0 199:59.0 200:26.0 201:104.0 202:10.0 203:281.0 204:601.0 205:778.0 206:383.0 207:2015.0 208:476.0 209:588.0 210:76.0 211:13.0 213:40.0 214:13.0 215:104.0 216:33.0 217:3149.0 218:714.0 219:1490.0 220:257.0 221:849.0 222:112.0 223:70.0 224:9.0 225:5.0 227:19.0 229:104.0 230:118.0 231:131.0 232:25.0 233:215.0 234:32.0 235:293.0 236:54.0 237:2476.0 238:359.0 239:73.0 241:12.0 242:7.0 243:422.0 244:76.0 245:157.0 246:28.0 247:33.0 248:3.0 249:44.0 250:4.0 251:124.0 252:136.0 253:95.0 254:26.0 255:71.0 256:2.0 257:176.0 258:14.0 259:30.0 260:7.0 263:16.0 264:3.0 265:104.0 266:14.0 267:130.0 268:4.0 269:35.0 271:467.0 272:155.0 273:193.0 274:36.0 275:1.0 277:17.0 278:1.0 279:5.0 281:508.0 282:129.0 283:106.0 284:6.0 289:19.0 291:75.0 292:35.0 293:10.0 294:3.0 295:46.0 296:7.0 297:6.0 298:12.0 300:5.0 303:4.0 304:4.0 305:127.0 306:46.0 307:61.0 308:919.0 309:416.0 310:18.0 311:79.0 312:2.0 313:67.0 314:7.0 315:7.0 317:1.0 318:16.0 319:153.0 320:33.0 321:21.0 323:4.0 325:58.0 326:1.0 327:108.0 328:19.0 329:377.0 330:83.0 331:91.0 332:32.0 335:2.0 341:161.0 342:23.0 343:11.0 344:4.0 345:62.0 346:11.0 347:7.0 355:35.0 356:10.0 357:5.0 360:27.0 361:1825.0 362:518.0 363:246.0 364:55.0 365:7.0 369:79.0 370:11.0 371:13.0 379:3.0 383:24.0 384:34.0 385:399.0 386:155.0 387:107.0 388:21.0 389:1.0 395:1.0 399:7.0 401:15.0 402:12.0 403:1.0 406:4.0 411:13.0 413:1.0 415:8.0 416:1.0 417:1.0 423:1.0 424:1.0 425:168.0 426:98.0 427:265.0 428:99.0 429:3.0 430:7.0 436:6.0 437:179.0 438:22.0 439:74.0 440:1202.0 441:10113.0 442:5040.0 443:1161.0 444:233.0 445:21.0 451:30.0 453:1.0 474:2.0 475:1.0 489:4.0</t>
  </si>
  <si>
    <t>201042</t>
  </si>
  <si>
    <t>298036</t>
  </si>
  <si>
    <t>86:79.0 87:6.0 88:13.0 89:425.0 90:29.0 91:59.0 93:7.0 94:1.0 95:6.0 96:12.0 98:11.0 99:8.0 100:16.0 101:8.0 102:25.0 103:43.0 104:160.0 105:3.0 107:1.0 109:3.0 111:5.0 112:2.0 113:18.0 114:2.0 115:25.0 116:79.0 117:2.0 118:1.0 123:6.0 124:1.0 125:1.0 128:8.0 130:15.0 131:23.0 132:808.0 133:60.0 134:14.0 137:14.0 138:5.0 143:3.0 144:3.0 145:2.0 149:1.0 154:2.0 156:8.0 168:1.0 169:4.0 171:3.0 174:12.0 178:3.0 179:6.0 182:2.0 183:3.0 186:3.0 189:2.0 190:7.0 193:1.0 197:1.0 202:1.0 203:4.0 206:2.0 207:1.0 211:1.0 219:2.0 220:2.0 221:1.0 222:3.0 229:2.0 232:2.0 238:3.0 239:1.0 246:1.0 249:7.0 250:2.0 255:1.0 257:1.0 263:3.0 264:5.0 268:1.0 272:1.0 273:2.0 277:6.0 282:5.0 286:1.0 287:2.0 289:4.0 293:1.0 295:2.0 297:2.0 299:2.0 301:6.0 303:1.0 309:1.0 310:1.0 315:2.0 319:2.0 327:1.0 329:1.0 332:2.0 337:1.0 338:1.0 346:3.0 347:2.0 349:2.0 350:1.0 353:2.0 354:1.0 356:2.0 358:1.0 361:1.0 362:2.0 365:2.0 366:2.0 367:2.0 375:2.0 376:3.0 377:4.0 384:4.0 385:3.0 388:3.0 401:1.0 408:3.0 409:4.0 411:1.0 412:3.0 415:1.0 419:2.0 421:2.0 432:1.0 434:1.0 435:3.0 436:1.0 440:3.0 449:1.0 450:2.0 453:2.0 464:2.0 466:4.0 472:2.0 473:2.0 480:3.0 484:2.0 489:2.0 490:3.0 491:1.0 494:3.0 497:1.0 500:4.0</t>
  </si>
  <si>
    <t>200942</t>
  </si>
  <si>
    <t>783186</t>
  </si>
  <si>
    <t>85:20.0 86:265.0 87:66.0 88:12.0 89:48.0 90:3.0 93:93.0 94:56.0 95:192.0 96:12.0 97:5.0 98:9.0 99:14.0 100:1675.0 101:757.0 102:114.0 103:490.0 104:56.0 105:49.0 106:11.0 107:34.0 108:59.0 109:48.0 110:14.0 113:28.0 114:477.0 115:518.0 116:116.0 117:205.0 119:24.0 120:7.0 121:23.0 122:8.0 123:13.0 124:11.0 125:3.0 126:24.0 129:359.0 130:54.0 131:210.0 132:33.0 133:292.0 134:34.0 135:87.0 136:48.0 137:18.0 138:4.0 139:14.0 140:3.0 141:10.0 143:19.0 145:1.0 146:7.0 147:527.0 148:61.0 149:70.0 150:25.0 151:16.0 152:1.0 154:1.0 155:1.0 157:1.0 159:1.0 160:1.0 162:4.0 163:15.0 164:4.0 165:14.0 166:31.0 167:14.0 168:1.0 169:2.0 172:425.0 173:74.0 174:326.0 175:45.0 176:15.0 177:1.0 179:6.0 180:12.0 181:36.0 182:4.0 183:12.0 186:1.0 187:44.0 188:500.0 189:78.0 190:42.0 191:22.0 192:2.0 193:27.0 194:10.0 195:44.0 196:9.0 197:15.0 198:1.0 199:2.0 202:2.0 204:16.0 205:20.0 206:2.0 207:62.0 208:9.0 209:9.0 210:23.0 211:155.0 212:32.0 213:3.0 217:12.0 218:25.0 219:8.0 220:9.0 221:18.0 222:4.0 223:9.0 224:4.0 225:35.0 226:7.0 227:12.0 228:8.0 229:3.0 236:9.0 237:14.0 238:4.0 240:25.0 241:47.0 242:12.0 243:5.0 244:3.0 247:3.0 249:5.0 250:3.0 251:3.0 252:5.0 253:31.0 254:20.0 255:7.0 256:15.0 257:28.0 258:1.0 259:11.0 260:2.0 261:3.0 262:4.0 263:2.0 264:7.0 265:2.0 266:8.0 267:17.0 269:19.0 270:12.0 271:1.0 272:5.0 276:6.0 277:1.0 278:13.0 279:3.0 280:10.0 281:10.0 282:39.0 283:22.0 284:5.0 285:20.0 286:13.0 287:3.0 288:1.0 289:6.0 290:3.0 291:4.0 292:5.0 293:7.0 294:10.0 295:7.0 296:5.0 297:14.0 298:1.0 299:227.0 300:71.0 301:34.0 302:4.0 303:5.0 304:8.0 306:9.0 307:7.0 308:1.0 309:17.0 310:9.0 311:6.0 313:5.0 314:13.0 315:71.0 316:6.0 317:1.0 319:16.0 320:13.0 321:3.0 322:10.0 323:1.0 324:16.0 325:5.0 326:10.0 327:14.0 328:16.0 329:47.0 330:15.0 331:7.0 332:5.0 333:16.0 334:5.0 335:7.0 336:19.0 337:23.0 338:12.0 339:4.0 340:7.0 341:9.0 342:21.0 343:23.0 344:3.0 345:11.0 346:18.0 347:2.0 348:10.0 349:6.0 350:12.0 351:4.0 352:4.0 353:10.0 354:5.0 355:22.0 356:13.0 357:105.0 358:27.0 359:28.0 360:7.0 362:5.0 363:6.0 364:10.0 365:6.0 366:7.0 367:4.0 368:6.0 369:9.0 370:19.0 371:6.0 372:23.0 373:17.0 374:3.0 375:1.0 378:18.0 379:2.0 380:2.0 381:8.0 382:15.0 383:10.0 384:6.0 385:8.0 386:22.0 387:10.0 388:11.0 389:12.0 390:11.0 391:12.0 392:9.0 393:9.0 394:7.0 395:10.0 396:16.0 397:3.0 398:5.0 399:22.0 400:16.0 401:3.0 402:20.0 403:2.0 404:10.0 405:12.0 406:4.0 407:6.0 408:23.0 409:11.0 410:7.0 411:5.0 412:6.0 413:7.0 414:19.0 415:16.0 416:5.0 418:15.0 419:3.0 420:5.0 421:15.0 422:14.0 423:10.0 424:4.0 425:8.0 427:18.0 428:10.0 429:7.0 430:13.0 431:22.0 434:3.0 435:1.0 436:5.0 437:9.0 438:13.0 439:11.0 440:11.0 441:2.0 442:5.0 443:12.0 444:13.0 445:37.0 446:24.0 447:10.0 448:2.0 450:6.0 451:3.0 452:8.0 453:18.0 454:5.0 455:13.0 456:3.0 457:3.0 458:12.0 459:8.0 460:10.0 461:34.0 462:14.0 463:14.0 464:2.0 465:16.0 466:12.0 467:4.0 468:7.0 469:13.0 470:9.0 471:5.0 472:7.0 473:8.0 474:17.0 475:11.0 476:7.0 477:5.0 478:1.0 479:17.0 481:2.0 482:9.0 483:6.0 484:6.0 485:3.0 487:10.0 488:5.0 489:13.0 490:10.0 491:2.0 492:9.0 493:16.0 494:7.0 495:13.0 496:3.0 497:14.0 498:17.0 499:12.0 500:21.0</t>
  </si>
  <si>
    <t>200914</t>
  </si>
  <si>
    <t>550216</t>
  </si>
  <si>
    <t>85:159.0 86:476.0 87:79.0 88:81.0 89:2779.0 90:307.0 92:2.0 93:61.0 94:31.0 95:78.0 96:68.0 97:107.0 98:276.0 99:161.0 100:2236.0 101:479.0 102:1376.0 103:233.0 104:129.0 105:102.0 106:47.0 107:483.0 108:70.0 109:43.0 110:1.0 111:46.0 112:278.0 113:276.0 114:740.0 115:426.0 116:476.0 117:377.0 118:77.0 119:122.0 120:22.0 121:12.0 122:20.0 123:7.0 124:3.0 126:201.0 127:1057.0 128:1967.0 129:632.0 130:259.0 131:400.0 132:359.0 133:670.0 135:19.0 136:24.0 137:7.0 138:14.0 139:176.0 140:147.0 141:43.0 142:1198.0 143:251.0 144:629.0 145:677.0 146:311.0 147:2842.0 148:464.0 149:290.0 150:53.0 151:11.0 152:11.0 153:139.0 154:74.0 155:1905.0 156:1498.0 157:227.0 158:125.0 159:43.0 160:33.0 161:31.0 162:16.0 163:69.0 164:6.0 165:5.0 166:8.0 167:12.0 168:3.0 169:31.0 170:19.0 171:1798.0 172:319.0 173:67.0 174:475.0 175:46.0 176:37.0 177:8.0 178:15.0 179:15.0 180:20.0 181:16.0 182:18.0 183:47.0 184:5.0 185:304.0 186:121.0 187:67.0 188:76.0 190:28.0 192:6.0 194:3.0 195:3.0 196:1.0 197:2.0 198:12.0 199:33.0 200:9.0 201:6.0 202:65.0 203:60.0 205:3.0 209:6.0 211:38.0 212:9.0 213:17.0 214:8.0 215:14.0 216:35.0 218:190.0 219:255.0 220:51.0 221:27.0 222:9.0 223:9.0 224:31.0 225:3.0 226:9.0 227:69.0 228:45.0 229:97.0 230:53.0 231:22.0 232:54.0 233:1.0 234:10.0 235:11.0 236:12.0 237:13.0 238:10.0 239:26.0 240:28.0 241:1.0 242:3.0 244:444.0 245:251.0 246:63.0 247:15.0 248:8.0 249:6.0 250:2.0 251:11.0 252:10.0 253:2.0 254:29.0 255:4.0 256:14.0 257:12.0 258:11.0 259:56.0 260:18.0 261:3.0 263:9.0 264:7.0 265:4.0 266:12.0 267:18.0 268:23.0 269:25.0 270:21.0 271:72.0 272:156.0 273:63.0 274:32.0 275:2828.0 276:625.0 277:199.0 278:34.0 279:13.0 280:15.0 281:23.0 282:20.0 283:10.0 284:14.0 285:6.0 286:13.0 287:44.0 288:16.0 289:19.0 290:10.0 291:23.0 292:14.0 293:16.0 294:14.0 295:10.0 296:14.0 297:10.0 298:8.0 299:7.0 300:1.0 301:1.0 302:71.0 303:42.0 304:14.0 305:6.0 306:5.0 307:8.0 308:5.0 309:10.0 310:7.0 311:19.0 312:12.0 313:1.0 314:10.0 317:24.0 318:19.0 319:18.0 320:6.0 321:3.0 322:32.0 323:17.0 324:2.0 325:7.0 326:13.0 327:14.0 328:1.0 329:10.0 330:7.0 331:7.0 332:6.0 334:4.0 335:1.0 336:19.0 337:1.0 338:16.0 339:22.0 340:26.0 341:15.0 342:33.0 343:25.0 344:16.0 345:30.0 346:94.0 347:38.0 348:15.0 349:31.0 350:12.0 351:6.0 352:29.0 353:23.0 354:3.0 355:23.0 356:12.0 357:5.0 358:17.0 359:12.0 360:24.0 361:37.0 362:28.0 363:30.0 364:21.0 365:4.0 366:21.0 367:6.0 368:6.0 369:24.0 370:13.0 371:22.0 372:19.0 374:9.0 375:7.0 376:8.0 377:35.0 378:35.0 379:23.0 380:11.0 381:31.0 382:10.0 383:3.0 384:19.0 385:30.0 386:30.0 387:28.0 388:27.0 389:8.0 390:22.0 391:26.0 392:36.0 393:11.0 394:11.0 396:3.0 397:28.0 398:24.0 399:1.0 400:21.0 401:27.0 402:15.0 403:10.0 404:5.0 405:25.0 406:20.0 407:25.0 408:30.0 409:27.0 410:29.0 411:20.0 412:10.0 413:6.0 414:5.0 415:19.0 416:3.0 417:9.0 418:8.0 419:18.0 420:4.0 421:6.0 422:12.0 423:6.0 424:9.0 426:23.0 427:34.0 428:11.0 429:23.0 430:6.0 431:26.0 432:2.0 433:32.0 434:28.0 435:19.0 436:2.0 437:24.0 438:13.0 439:22.0 440:5.0 441:14.0 442:18.0 443:25.0 444:27.0 445:22.0 446:9.0 447:24.0 448:25.0 449:6.0 450:22.0 451:12.0 452:24.0 453:3.0 454:23.0 455:3.0 456:29.0 457:30.0 458:23.0 459:22.0 460:10.0 461:22.0 462:18.0 463:25.0 464:17.0 465:19.0 466:21.0 467:13.0 468:18.0 470:7.0 471:18.0 472:1.0 473:26.0 474:24.0 475:16.0 476:25.0 477:24.0 478:10.0 479:26.0 480:18.0 481:4.0 482:11.0 483:17.0 484:13.0 485:22.0 486:26.0 487:15.0 488:20.0 489:4.0 490:14.0 491:26.0 492:29.0 493:19.0 494:20.0 495:27.0 496:20.0 497:19.0 498:30.0 499:31.0 500:20.0</t>
  </si>
  <si>
    <t>200906</t>
  </si>
  <si>
    <t>565964</t>
  </si>
  <si>
    <t>85:383.0 86:723.0 87:233.0 88:194.0 89:6523.0 90:730.0 91:14.0 94:18.0 95:70.0 96:121.0 97:152.0 98:485.0 99:328.0 100:2993.0 101:817.0 102:2302.0 103:954.0 104:273.0 105:253.0 106:22.0 108:20.0 109:127.0 110:86.0 111:88.0 112:631.0 113:550.0 114:1178.0 115:502.0 116:974.0 117:1236.0 118:209.0 119:329.0 120:53.0 121:20.0 122:12.0 123:11.0 124:17.0 126:371.0 127:1465.0 128:3421.0 129:1334.0 130:595.0 131:1039.0 132:621.0 133:1636.0 135:82.0 136:41.0 138:14.0 139:393.0 140:348.0 142:1786.0 143:390.0 144:1666.0 145:1614.0 146:728.0 147:5940.0 148:1085.0 149:715.0 150:96.0 151:45.0 152:21.0 153:257.0 154:166.0 155:4085.0 156:2704.0 157:647.0 158:301.0 160:129.0 161:163.0 162:41.0 163:168.0 164:20.0 166:13.0 167:18.0 168:27.0 169:66.0 170:53.0 171:3676.0 172:1062.0 173:201.0 174:1059.0 175:138.0 176:57.0 177:23.0 178:13.0 179:5.0 180:27.0 181:33.0 182:44.0 183:139.0 184:56.0 185:519.0 186:255.0 187:139.0 188:184.0 189:128.0 190:66.0 191:78.0 192:28.0 193:15.0 194:2.0 195:3.0 196:1.0 197:14.0 198:17.0 199:51.0 200:35.0 201:30.0 202:115.0 203:180.0 204:133.0 205:60.0 206:6.0 207:12.0 208:7.0 209:11.0 210:6.0 211:13.0 212:4.0 214:28.0 215:27.0 216:118.0 217:358.0 218:522.0 219:555.0 220:127.0 221:103.0 222:27.0 223:16.0 224:22.0 225:15.0 226:3.0 227:61.0 228:112.0 229:206.0 230:132.0 232:330.0 233:77.0 234:53.0 235:10.0 236:8.0 237:5.0 238:5.0 239:31.0 240:28.0 241:20.0 242:16.0 243:278.0 244:1077.0 245:569.0 246:155.0 247:62.0 248:21.0 249:11.0 250:14.0 251:10.0 253:2.0 254:4.0 255:35.0 256:35.0 257:21.0 258:19.0 259:73.0 260:44.0 261:16.0 262:13.0 263:5.0 264:16.0 265:12.0 266:16.0 267:9.0 268:3.0 269:3.0 270:9.0 271:332.0 272:1028.0 273:254.0 274:139.0 275:4574.0 276:1121.0 277:338.0 278:61.0 279:32.0 280:16.0 281:16.0 282:14.0 283:10.0 284:5.0 285:13.0 287:109.0 288:46.0 289:32.0 290:1.0 291:46.0 292:20.0 293:26.0 294:24.0 295:11.0 296:10.0 297:5.0 299:7.0 300:2.0 302:112.0 303:41.0 304:33.0 305:11.0 306:17.0 307:24.0 308:14.0 309:12.0 310:15.0 311:3.0 313:4.0 315:6.0 316:6.0 317:180.0 318:84.0 319:77.0 320:45.0 321:9.0 322:20.0 323:1.0 324:3.0 325:7.0 326:5.0 327:8.0 328:10.0 329:9.0 330:1.0 331:9.0 332:9.0 333:17.0 334:25.0 335:17.0 336:11.0 337:15.0 338:17.0 339:3.0 340:7.0 341:19.0 342:6.0 343:13.0 344:15.0 345:33.0 346:115.0 347:38.0 348:32.0 349:42.0 350:20.0 351:13.0 352:13.0 353:13.0 354:10.0 355:6.0 356:17.0 357:7.0 358:6.0 359:16.0 360:17.0 361:39.0 362:22.0 363:19.0 364:20.0 365:8.0 366:13.0 367:13.0 368:16.0 369:69.0 370:17.0 371:21.0 372:12.0 373:5.0 374:3.0 375:7.0 376:10.0 377:26.0 378:14.0 379:18.0 380:9.0 381:14.0 382:17.0 383:15.0 384:17.0 385:12.0 386:11.0 387:19.0 388:6.0 389:7.0 390:6.0 391:13.0 392:36.0 393:18.0 394:22.0 395:9.0 396:3.0 397:20.0 398:14.0 399:8.0 400:12.0 401:8.0 402:8.0 403:11.0 404:1.0 405:17.0 406:4.0 407:13.0 408:9.0 409:9.0 410:16.0 411:15.0 412:12.0 413:13.0 414:14.0 415:10.0 416:12.0 417:3.0 418:11.0 419:2.0 421:9.0 423:10.0 424:8.0 425:15.0 426:4.0 428:13.0 429:6.0 430:9.0 431:16.0 432:17.0 433:17.0 436:4.0 437:26.0 438:14.0 439:6.0 440:17.0 441:2.0 442:13.0 443:19.0 444:9.0 445:16.0 446:8.0 447:8.0 448:11.0 449:6.0 450:10.0 451:9.0 452:14.0 453:3.0 454:8.0 455:8.0 456:14.0 457:7.0 458:12.0 459:7.0 460:10.0 461:11.0 463:11.0 464:9.0 465:11.0 466:2.0 467:14.0 468:2.0 469:5.0 470:14.0 471:17.0 472:4.0 473:9.0 474:11.0 475:16.0 476:1.0 477:12.0 478:12.0 479:11.0 481:4.0 482:10.0 483:8.0 484:12.0 485:20.0 486:4.0 487:15.0 488:4.0 489:15.0 490:6.0 491:2.0 492:17.0 493:8.0 494:10.0 495:15.0 496:7.0 497:12.0 498:4.0 499:15.0 500:15.0</t>
  </si>
  <si>
    <t>200821</t>
  </si>
  <si>
    <t>568788</t>
  </si>
  <si>
    <t>85:80.0 86:1419.0 87:213.0 88:167.0 89:1109.0 90:63.0 94:23.0 96:86.0 97:127.0 98:1101.0 99:625.0 100:221.0 101:1217.0 102:202.0 103:1947.0 104:204.0 105:320.0 106:48.0 111:36.0 112:107.0 113:136.0 114:164.0 115:54.0 116:721.0 117:2976.0 118:271.0 119:316.0 122:3.0 124:6.0 126:35.0 128:302.0 129:489.0 131:570.0 132:6.0 133:1830.0 134:1.0 135:93.0 138:75.0 140:35.0 142:97.0 143:127.0 144:59.0 145:74.0 147:3615.0 148:517.0 149:560.0 150:100.0 152:9.0 155:57.0 156:88.0 157:45.0 158:1319.0 159:129.0 160:26.0 161:11.0 163:124.0 164:11.0 167:17.0 168:81.0 169:20.0 170:127.0 171:125.0 172:473.0 173:170.0 174:37.0 175:89.0 177:114.0 178:24.0 179:10.0 180:4.0 184:28.0 186:297.0 187:5.0 188:77.0 189:173.0 191:10.0 192:7.0 196:41.0 197:21.0 198:19.0 200:120.0 201:16.0 202:855.0 203:1626.0 204:498.0 205:1417.0 206:194.0 207:7.0 212:94.0 214:483.0 215:67.0 216:135.0 219:97.0 220:12.0 222:5.0 224:1.0 228:40.0 236:2.0 237:10.0 243:11.0 244:637.0 245:95.0 253:3.0 258:39.0 259:3.0 260:21.0 261:5.0 262:2.0 263:2.0 269:11.0 271:67.0 272:9.0 274:1.0 275:30.0 276:1.0 277:37.0 278:3.0 279:1.0 280:3.0 284:9.0 285:4.0 286:92.0 287:1.0 290:11.0 294:2.0 296:3.0 302:68.0 304:72.0 305:13.0 310:5.0 312:5.0 314:3.0 315:11.0 317:5.0 321:5.0 322:2.0 326:1.0 327:2.0 328:3.0 330:1.0 333:2.0 340:3.0 341:2.0 350:2.0 355:3.0 364:4.0 367:3.0 372:6.0 374:1.0 378:2.0 384:1.0 385:7.0 386:5.0 388:2.0 389:2.0 393:1.0 396:1.0 400:1.0 402:1.0 406:6.0 415:1.0 416:10.0 421:4.0 423:4.0 424:12.0 429:3.0 432:6.0 436:11.0 437:2.0 439:1.0 460:1.0 462:4.0 464:2.0 471:3.0 473:1.0 474:3.0 475:5.0 476:2.0 477:2.0 478:5.0 479:3.0 480:2.0 481:1.0 485:17.0 486:8.0 488:7.0 490:4.0 492:3.0 497:8.0 499:14.0 500:1.0</t>
  </si>
  <si>
    <t>200624</t>
  </si>
  <si>
    <t>421877</t>
  </si>
  <si>
    <t>373</t>
  </si>
  <si>
    <t>87:6.0 88:3.0 89:18.0 90:25.0 91:453.0 93:16.0 97:32.0 98:1.0 99:10.0 100:35.0 101:27.0 103:496.0 105:57.0 106:32.0 107:192.0 108:61.0 110:233.0 111:13.0 112:18.0 113:19.0 115:37.0 116:44.0 117:81.0 119:6.0 121:4.0 122:3.0 123:2.0 126:62.0 127:63.0 129:7.0 130:342.0 131:89.0 132:87.0 133:218.0 134:413.0 135:155.0 136:34.0 137:35.0 139:18.0 140:4.0 141:32.0 143:3.0 147:879.0 148:40.0 152:2.0 156:3.0 158:5.0 160:2.0 161:29.0 162:4.0 163:28.0 164:4.0 165:19.0 172:9.0 173:3.0 177:27.0 178:2.0 179:77.0 180:7.0 181:6.0 184:73.0 186:2.0 189:116.0 191:244.0 192:22.0 193:221.0 194:25.0 195:59.0 197:4.0 199:6.0 200:8.0 203:17.0 204:280.0 205:135.0 206:18.0 207:255.0 208:65.0 209:18.0 211:73.0 212:4.0 214:1.0 216:1.0 217:39.0 219:31.0 220:9.0 222:5.0 224:3.0 225:30.0 228:1.0 229:7.0 231:3.0 234:2.0 239:12.0 242:1.0 243:1.0 244:16.0 245:2.0 246:8.0 248:9.0 249:15.0 250:3.0 251:45.0 252:4.0 253:20.0 254:9.0 255:51.0 256:3.0 260:1.0 267:15.0 268:1.0 269:59.0 270:4.0 271:14.0 273:2.0 274:2.0 276:2.0 278:2.0 281:8.0 283:7.0 284:1.0 285:411.0 286:86.0 287:35.0 289:2.0 290:1.0 291:4.0 294:7.0 295:3.0 296:3.0 299:73.0 300:10.0 301:9.0 302:6.0 303:4.0 304:8.0 309:2.0 311:1.0 318:1.0 320:1.0 321:4.0 322:2.0 323:1.0 325:4.0 329:4.0 330:8.0 332:1.0 333:3.0 334:5.0 336:4.0 337:1.0 339:1.0 341:4.0 343:7.0 351:5.0 352:1.0 354:1.0 356:13.0 357:84.0 358:10.0 359:9.0 361:3.0 363:4.0 366:1.0 370:12.0 371:3.0 372:170.0 373:1561.0 374:605.0 375:358.0 376:72.0 378:8.0 383:4.0 384:2.0 385:4.0 387:2.0 388:11.0 390:1.0 393:6.0 394:3.0 396:5.0 397:3.0 398:2.0 403:6.0 405:3.0 411:1.0 416:7.0 418:1.0 419:6.0 421:5.0 424:4.0 427:3.0 430:1.0 435:4.0 443:2.0 445:2.0 450:1.0 451:4.0 456:1.0 458:4.0 459:2.0 460:1.0 462:2.0 466:5.0 467:2.0 471:1.0 472:3.0 473:5.0 476:14.0 477:1.0 479:1.0 481:3.0 482:4.0 483:6.0 489:10.0 490:1.0 491:1.0 493:1.0 495:4.0 498:3.0 499:8.0</t>
  </si>
  <si>
    <t>200571</t>
  </si>
  <si>
    <t>515096</t>
  </si>
  <si>
    <t>85:3.0 86:31.0 87:13.0 88:3.0 89:8.0 90:17.0 91:53.0 93:3.0 94:4.0 96:7.0 97:4.0 98:37.0 99:100.0 100:175.0 101:79.0 102:19.0 103:619.0 104:17.0 105:26.0 106:14.0 107:6.0 109:2.0 110:13.0 112:2.0 113:31.0 114:13.0 115:138.0 116:83.0 117:111.0 118:14.0 120:2.0 121:1.0 123:2.0 124:6.0 125:7.0 126:22.0 127:27.0 128:64.0 129:125.0 130:12.0 131:89.0 132:24.0 133:94.0 134:18.0 135:1.0 136:4.0 137:4.0 138:2.0 139:5.0 140:11.0 141:15.0 142:1088.0 143:171.0 144:67.0 145:1.0 147:496.0 148:57.0 149:25.0 150:2.0 151:10.0 152:2.0 153:5.0 154:6.0 155:22.0 156:2.0 157:15.0 158:25.0 159:14.0 161:8.0 162:6.0 165:8.0 166:8.0 167:4.0 168:3.0 169:27.0 170:39.0 171:7.0 172:3.0 173:1.0 174:2.0 175:4.0 176:4.0 178:1.0 179:1.0 180:1.0 181:1.0 182:9.0 183:2.0 184:10.0 185:6.0 186:717.0 187:101.0 188:27.0 189:5.0 190:10.0 191:4.0 192:6.0 193:6.0 194:1.0 195:1.0 199:4.0 200:1.0 201:2.0 202:11.0 203:12.0 204:28.0 205:4.0 206:14.0 207:1.0 210:2.0 211:5.0 213:4.0 214:5.0 215:6.0 216:173.0 217:50.0 218:33.0 219:93.0 220:10.0 222:4.0 223:7.0 224:7.0 225:2.0 226:2.0 227:4.0 228:6.0 229:3.0 230:9.0 231:7.0 232:4.0 233:3.0 234:6.0 235:2.0 236:4.0 237:1.0 238:3.0 241:3.0 243:44.0 244:49.0 245:12.0 246:7.0 248:2.0 249:5.0 250:1.0 252:5.0 253:2.0 254:1.0 256:1.0 257:9.0 259:4.0 260:1.0 261:3.0 262:1.0 264:2.0 266:1.0 268:4.0 270:6.0 271:8.0 272:7.0 273:2.0 274:2.0 275:1.0 277:2.0 278:2.0 280:5.0 282:6.0 283:5.0 284:5.0 286:8.0 287:1.0 288:60.0 289:18.0 291:10.0 292:8.0 293:1.0 294:5.0 295:3.0 296:3.0 297:9.0 300:4.0 301:1.0 302:16.0 303:2.0 304:2.0 305:3.0 307:8.0 308:5.0 309:2.0 310:11.0 311:4.0 312:2.0 313:3.0 314:1.0 315:11.0 317:4.0 318:4.0 319:6.0 320:1.0 321:5.0 322:2.0 323:1.0 324:10.0 326:6.0 328:4.0 329:2.0 330:9.0 331:4.0 332:1.0 333:1.0 334:1.0 335:3.0 336:4.0 337:5.0 338:8.0 339:13.0 340:5.0 341:3.0 342:2.0 346:4.0 347:2.0 348:5.0 349:1.0 351:2.0 352:4.0 354:9.0 355:13.0 356:6.0 357:4.0 358:8.0 359:3.0 360:7.0 361:55.0 362:18.0 363:3.0 364:6.0 367:2.0 368:2.0 369:1.0 370:1.0 372:8.0 374:4.0 376:2.0 377:6.0 378:7.0 379:1.0 380:11.0 382:10.0 383:7.0 384:10.0 385:11.0 386:6.0 387:5.0 388:11.0 389:6.0 390:8.0 391:6.0 392:4.0 394:2.0 395:3.0 396:10.0 397:5.0 400:5.0 403:1.0 404:4.0 405:9.0 406:5.0 407:8.0 408:2.0 409:1.0 410:1.0 412:7.0 413:8.0 414:5.0 415:5.0 416:6.0 417:2.0 418:7.0 419:1.0 420:4.0 421:3.0 422:6.0 423:5.0 426:2.0 427:11.0 428:1.0 429:3.0 430:5.0 431:7.0 432:5.0 434:1.0 435:14.0 436:3.0 438:3.0 440:10.0 441:4.0 442:3.0 443:19.0 444:12.0 445:2.0 447:1.0 448:2.0 449:5.0 450:2.0 452:11.0 453:1.0 454:3.0 455:11.0 456:2.0 457:3.0 458:5.0 460:6.0 461:2.0 462:9.0 463:1.0 465:2.0 466:12.0 468:10.0 469:2.0 470:1.0 471:2.0 472:5.0 474:11.0 475:4.0 476:4.0 478:4.0 479:7.0 480:3.0 481:1.0 482:4.0 483:1.0 484:2.0 485:4.0 486:7.0 487:12.0 488:3.0 489:6.0 490:5.0 491:1.0 492:9.0 493:5.0 495:3.0 496:3.0 497:1.0 498:1.0 499:4.0 500:9.0</t>
  </si>
  <si>
    <t>200411</t>
  </si>
  <si>
    <t>595016</t>
  </si>
  <si>
    <t>85:73.0 86:32.0 87:930.0 88:807.0 89:746.0 90:87.0 91:70.0 92:51.0 94:8.0 95:63.0 96:6.0 97:4.0 98:23.0 99:167.0 100:40.0 101:2362.0 102:298.0 103:4271.0 104:348.0 105:300.0 106:8.0 107:8.0 109:24.0 110:3.0 111:31.0 112:1.0 113:207.0 114:29.0 115:254.0 116:3685.0 117:7428.0 118:844.0 119:549.0 120:17.0 121:5.0 122:12.0 124:7.0 125:9.0 126:3.0 127:60.0 128:45.0 129:598.0 130:97.0 131:509.0 132:69.0 133:1350.0 134:145.0 135:118.0 136:5.0 139:6.0 140:21.0 141:32.0 142:48.0 143:301.0 144:118.0 145:227.0 146:36.0 147:4249.0 148:617.0 149:457.0 150:35.0 151:38.0 152:11.0 153:32.0 154:16.0 155:89.0 156:42.0 157:64.0 158:8.0 159:32.0 160:9.0 161:698.0 162:102.0 163:77.0 164:6.0 165:6.0 166:9.0 167:21.0 169:332.0 170:24.0 171:11.0 172:1.0 173:9.0 174:1.0 175:15.0 176:4.0 177:45.0 179:8.0 181:2.0 183:5.0 184:10.0 185:16.0 187:1.0 188:9.0 189:60.0 191:481.0 192:47.0 193:25.0 194:6.0 197:26.0 198:2.0 201:17.0 203:139.0 204:34.0 205:52.0 206:10.0 212:2.0 214:8.0 215:10.0 216:19.0 217:6892.0 218:1620.0 219:653.0 220:113.0 226:3.0 227:3.0 230:43.0 231:27.0 232:546.0 233:176.0 234:56.0 235:64.0 236:8.0 237:6.0 239:3.0 240:5.0 243:66.0 244:11.0 245:58.0 246:35.0 247:5.0 248:1.0 252:8.0 254:7.0 255:2.0 257:195.0 258:39.0 259:5.0 260:5.0 262:7.0 266:1.0 269:1.0 271:8.0 272:11.0 273:7.0 274:11.0 275:6.0 280:10.0 286:1.0 288:11.0 291:8.0 297:2.0 304:8.0 305:160.0 306:54.0 307:5.0 310:5.0 314:3.0 317:46.0 318:20.0 319:16.0 320:4.0 321:5.0 322:11.0 331:24.0 332:8.0 334:7.0 335:3.0 336:11.0 337:1.0 344:5.0 345:20.0 346:3.0 347:20.0 348:5.0 349:2.0 352:4.0 353:10.0 358:8.0 359:1.0 360:3.0 361:16.0 362:19.0 364:4.0 365:3.0 366:3.0 372:1.0 374:4.0 376:2.0 378:2.0 381:6.0 382:1.0 383:2.0 387:1.0 389:3.0 397:2.0 398:1.0 400:6.0 404:1.0 406:3.0 408:2.0 409:2.0 411:6.0 412:1.0 416:2.0 418:1.0 421:1.0 422:1.0 424:5.0 425:6.0 426:2.0 429:2.0 431:9.0 434:3.0 435:2.0 436:6.0 440:7.0 441:5.0 442:2.0 443:7.0 448:2.0 449:4.0 450:148.0 451:78.0 452:38.0 453:13.0 454:9.0 455:1.0 457:4.0 458:4.0 462:6.0 465:3.0 466:2.0 467:3.0 470:4.0 471:2.0 472:5.0 474:1.0 476:6.0 478:7.0 479:6.0 481:6.0 482:4.0 483:6.0 485:1.0 495:5.0 498:1.0 500:1.0</t>
  </si>
  <si>
    <t>1-monostearin</t>
  </si>
  <si>
    <t>956148</t>
  </si>
  <si>
    <t>399</t>
  </si>
  <si>
    <t>85:10945.0 86:282.0 87:413.0 88:493.0 89:2671.0 90:132.0 93:250.0 94:57.0 95:11760.0 96:2152.0 97:11059.0 98:3124.0 99:3482.0 101:15954.0 103:8042.0 104:1204.0 106:31.0 109:6281.0 110:591.0 111:4506.0 112:726.0 113:2249.0 115:126.0 116:10811.0 117:10373.0 118:954.0 120:472.0 123:3488.0 124:390.0 125:1264.0 127:184.0 128:439.0 129:24937.0 130:4347.0 131:7233.0 132:4099.0 133:4273.0 134:735.0 137:1313.0 138:209.0 139:308.0 140:78.0 144:64.0 145:6544.0 146:1467.0 147:17209.0 148:3147.0 149:2814.0 150:672.0 151:924.0 153:557.0 154:221.0 155:544.0 157:1078.0 158:86.0 159:987.0 160:357.0 162:26.0 163:651.0 164:120.0 165:185.0 166:97.0 168:56.0 169:3624.0 170:362.0 171:420.0 172:38.0 173:190.0 175:310.0 179:821.0 182:51.0 183:120.0 185:255.0 187:2571.0 188:1784.0 189:1435.0 191:1071.0 192:374.0 194:377.0 195:299.0 196:36.0 198:613.0 199:351.0 200:548.0 201:1540.0 202:245.0 203:14241.0 204:1399.0 205:4004.0 206:229.0 209:305.0 210:204.0 211:34.0 213:63.0 215:586.0 217:5059.0 218:2932.0 219:1573.0 220:753.0 222:298.0 223:770.0 225:109.0 227:99.0 228:145.0 229:665.0 230:396.0 231:553.0 232:108.0 233:12.0 235:210.0 237:203.0 238:326.0 241:181.0 242:92.0 243:1891.0 244:215.0 245:86.0 247:59.0 250:72.0 251:43.0 253:521.0 255:110.0 256:110.0 257:1039.0 258:213.0 259:503.0 260:59.0 261:59.0 264:44.0 267:69.0 268:186.0 269:259.0 270:166.0 271:1511.0 272:629.0 273:466.0 274:98.0 275:197.0 276:85.0 278:108.0 281:791.0 282:65.0 283:409.0 284:376.0 285:206.0 286:184.0 287:56.0 288:81.0 289:952.0 290:341.0 291:56.0 292:34.0 293:119.0 294:96.0 295:1311.0 296:159.0 298:39.0 299:357.0 300:259.0 303:24.0 305:311.0 306:32.0 308:18.0 311:115.0 312:11.0 313:162.0 314:35.0 315:21.0 316:76.0 317:142.0 320:247.0 322:2.0 323:70.0 324:17.0 326:242.0 330:50.0 331:198.0 332:434.0 333:55.0 334:179.0 337:76.0 338:39.0 339:14.0 340:89.0 341:601.0 342:383.0 344:39.0 347:109.0 348:24.0 349:5.0 350:17.0 354:54.0 355:178.0 356:55.0 359:29.0 360:177.0 361:5408.0 362:1708.0 363:998.0 364:152.0 365:36.0 367:190.0 368:93.0 369:390.0 370:31.0 372:137.0 375:313.0 376:7.0 378:9.0 379:32.0 383:20.0 384:70.0 385:187.0 386:70.0 387:13.0 388:87.0 389:73.0 390:4.0 391:28.0 392:53.0 393:3.0 397:56.0 398:660.0 399:12571.0 400:6022.0 401:1013.0 402:276.0 403:157.0 404:124.0 405:22.0 406:2.0 407:59.0 408:66.0 409:32.0 412:156.0 414:135.0 415:253.0 416:559.0 417:313.0 418:180.0 420:63.0 422:22.0 423:43.0 428:64.0 429:651.0 430:430.0 431:312.0 433:9.0 434:97.0 436:282.0 437:488.0 438:241.0 439:161.0 440:9.0 442:33.0 443:95.0 445:57.0 446:256.0 448:104.0 449:61.0 451:87.0 453:47.0 455:50.0 459:32.0 460:19.0 462:21.0 463:125.0 465:24.0 466:18.0 467:132.0 468:127.0 470:17.0 476:31.0 477:124.0 484:52.0 486:31.0 487:976.0 488:508.0 491:173.0 492:31.0 493:71.0 494:16.0</t>
  </si>
  <si>
    <t>199942</t>
  </si>
  <si>
    <t>431285</t>
  </si>
  <si>
    <t>104</t>
  </si>
  <si>
    <t>85:450.0 86:79.0 87:265.0 88:146.0 89:13.0 90:4.0 92:5.0 93:3.0 94:5.0 97:9.0 98:1.0 100:37.0 101:52.0 102:28.0 103:58.0 104:1853.0 105:123.0 106:37.0 107:42.0 108:15.0 109:6.0 110:30.0 111:2.0 113:11.0 114:37.0 116:269.0 117:1.0 118:12.0 121:2.0 122:3.0 124:2.0 126:39.0 128:3.0 130:329.0 131:445.0 132:47.0 133:11.0 135:93.0 137:15.0 138:1.0 142:1.0 143:10.0 144:19.0 145:7.0 146:50.0 149:50.0 151:56.0 152:4.0 153:28.0 154:12.0 155:3.0 158:25.0 162:4.0 163:13.0 164:2.0 165:4.0 169:1.0 172:1.0 173:27.0 174:21.0 175:3.0 178:124.0 179:13.0 180:28.0 181:7.0 185:2.0 186:1.0 188:1.0 192:2.0 193:6.0 194:3.0 196:2.0 201:5.0 203:3.0 211:4.0 213:1.0 216:2.0 221:81.0 226:1.0 227:4.0 234:3.0 235:6.0 236:1.0 238:1.0 240:3.0 241:3.0 243:1.0 252:3.0 256:3.0 259:1.0 260:4.0 262:5.0 263:3.0 265:2.0 269:6.0 275:1.0 276:4.0 282:1.0 283:2.0 284:1.0 288:2.0 290:4.0 291:2.0 293:1.0 295:2.0 304:1.0 309:2.0 310:2.0 316:1.0 317:3.0 318:1.0 319:4.0 325:7.0 337:1.0 345:4.0 351:1.0 355:6.0 359:1.0 363:1.0 365:4.0 370:3.0 371:3.0 372:2.0 374:1.0 387:2.0 389:2.0 392:2.0 393:2.0 396:2.0 403:2.0 405:2.0 407:2.0 411:1.0 413:3.0 422:6.0 425:2.0 427:6.0 431:3.0 434:1.0 437:1.0 440:1.0 445:3.0 447:1.0 448:1.0 453:5.0 454:2.0 458:1.0 475:1.0 476:2.0 477:2.0 479:2.0 486:2.0 491:4.0 494:1.0 499:3.0</t>
  </si>
  <si>
    <t>199813</t>
  </si>
  <si>
    <t>474977</t>
  </si>
  <si>
    <t>88:5.0 91:35.0 92:15.0 95:1.0 97:1.0 98:1033.0 99:42.0 100:24.0 101:17.0 102:34.0 103:34.0 107:15.0 110:2.0 111:9.0 113:2.0 116:4.0 125:1.0 126:2.0 128:5.0 129:1.0 130:14.0 132:3.0 134:32.0 137:1.0 138:1.0 139:1.0 141:1.0 144:1.0 146:4.0 147:52.0 149:5.0 150:2.0 151:2.0 154:1.0 156:1.0 162:2.0 165:3.0 168:1.0 170:2.0 171:48.0 172:3.0 173:1.0 174:2.0 175:2.0 178:1.0 179:21.0 182:6.0 183:4.0 184:7.0 185:5.0 187:1.0 197:8.0 200:118.0 201:2.0 202:5.0 206:1.0 207:2.0 209:1.0 216:2.0 233:2.0 237:3.0 239:4.0 240:4.0 247:1.0 248:1.0 250:5.0 251:4.0 254:2.0 257:1.0 258:1.0 260:3.0 263:3.0 268:1.0 270:8.0 271:1.0 272:4.0 273:2.0 277:1.0 281:2.0 282:10.0 283:3.0 285:1.0 286:2.0 287:1.0 288:2.0 289:2.0 290:1.0 291:2.0 292:4.0 297:4.0 301:3.0 304:2.0 314:1.0 321:1.0 325:3.0 326:1.0 331:3.0 337:3.0 338:6.0 339:4.0 340:2.0 341:3.0 342:2.0 344:2.0 345:2.0 348:6.0 350:3.0 351:6.0 353:3.0 354:2.0 356:2.0 358:4.0 359:1.0 362:3.0 363:4.0 364:1.0 366:3.0 367:4.0 368:1.0 372:2.0 373:4.0 374:3.0 377:2.0 378:3.0 382:1.0 383:2.0 385:2.0 388:2.0 391:4.0 394:5.0 396:5.0 398:1.0 399:1.0 407:1.0 408:1.0 411:3.0 414:4.0 415:1.0 418:3.0 419:3.0 421:3.0 423:4.0 428:2.0 430:3.0 432:5.0 437:1.0 438:1.0 442:2.0 443:3.0 445:3.0 446:1.0 447:4.0 450:1.0 452:4.0 453:3.0 455:3.0 458:1.0 461:3.0 462:2.0 464:1.0 465:3.0 466:6.0 467:1.0 469:4.0 471:1.0 473:2.0 474:7.0 477:3.0 479:2.0 481:6.0 482:1.0 485:1.0 486:2.0 488:1.0 489:1.0 490:6.0 491:2.0 492:2.0 495:2.0 496:4.0 498:1.0</t>
  </si>
  <si>
    <t>199794</t>
  </si>
  <si>
    <t>681176</t>
  </si>
  <si>
    <t>85:681.0 86:319.0 87:427.0 88:365.0 89:5211.0 90:455.0 91:548.0 92:74.0 93:47.0 94:60.0 95:82.0 96:148.0 97:213.0 98:132.0 99:488.0 100:978.0 101:1557.0 102:964.0 103:8073.0 104:888.0 105:983.0 106:119.0 107:79.0 108:43.0 109:226.0 110:222.0 111:331.0 112:194.0 113:377.0 114:337.0 115:838.0 116:753.0 117:3752.0 118:482.0 119:668.0 120:83.0 121:51.0 122:30.0 123:7.0 124:57.0 125:68.0 126:252.0 127:335.0 128:339.0 129:5496.0 130:2271.0 131:1839.0 132:463.0 133:3338.0 134:481.0 135:298.0 136:43.0 137:28.0 138:92.0 139:131.0 140:136.0 141:169.0 142:601.0 143:1053.0 144:290.0 145:460.0 146:258.0 147:8474.0 148:2102.0 149:1336.0 150:178.0 151:107.0 152:64.0 153:182.0 154:107.0 155:479.0 156:206.0 157:1693.0 158:538.0 159:241.0 160:781.0 161:653.0 162:137.0 163:473.0 164:85.0 165:62.0 166:27.0 167:39.0 168:224.0 169:2551.0 170:1479.0 171:383.0 172:213.0 173:210.0 174:388.0 175:194.0 176:73.0 177:146.0 178:55.0 179:27.0 180:59.0 181:85.0 182:49.0 183:148.0 184:87.0 185:73.0 186:279.0 187:109.0 188:63.0 189:2315.0 190:481.0 194:4.0 195:21.0 196:99.0 197:59.0 198:75.0 199:67.0 200:98.0 201:115.0 202:76.0 203:245.0 204:3018.0 205:1110.0 206:323.0 207:156.0 208:47.0 209:19.0 210:13.0 211:16.0 212:80.0 213:22.0 214:81.0 215:217.0 216:232.0 217:14736.0 218:3092.0 219:1850.0 220:286.0 221:167.0 222:61.0 223:36.0 224:14.0 225:17.0 226:10.0 227:64.0 228:95.0 229:285.0 230:185.0 231:262.0 232:170.0 233:98.0 234:50.0 235:55.0 236:23.0 237:15.0 238:9.0 239:13.0 240:23.0 241:86.0 242:323.0 243:1177.0 244:617.0 245:338.0 246:163.0 247:174.0 248:103.0 249:38.0 250:20.0 251:9.0 253:7.0 254:11.0 255:32.0 256:50.0 257:71.0 258:93.0 259:123.0 260:103.0 261:58.0 262:57.0 263:17.0 264:12.0 265:1.0 266:4.0 269:4.0 270:68.0 271:738.0 272:193.0 273:90.0 274:58.0 275:42.0 276:39.0 277:34.0 278:17.0 279:12.0 280:7.0 281:11.0 282:5.0 283:10.0 284:2.0 285:16.0 286:48.0 287:8.0 288:25.0 289:83.0 290:40.0 291:55.0 292:27.0 293:7.0 294:10.0 295:4.0 296:1.0 297:6.0 298:22.0 299:16.0 300:14.0 301:6.0 302:105.0 303:56.0 304:65.0 305:89.0 306:54.0 307:20.0 308:18.0 309:14.0 310:2.0 311:14.0 312:4.0 313:11.0 314:6.0 315:9.0 316:10.0 317:24.0 318:31.0 319:234.0 320:88.0 321:45.0 322:22.0 323:15.0 324:9.0 325:17.0 326:5.0 327:12.0 328:8.0 329:1.0 330:17.0 331:207.0 332:496.0 333:209.0 334:88.0 335:23.0 336:11.0 337:20.0 338:8.0 339:4.0 340:11.0 341:15.0 342:6.0 343:4.0 344:12.0 345:8.0 346:16.0 347:6.0 348:12.0 349:9.0 350:8.0 351:16.0 352:11.0 353:5.0 354:2.0 355:18.0 356:7.0 358:4.0 359:2.0 360:94.0 361:1858.0 362:685.0 363:312.0 364:91.0 365:29.0 366:21.0 367:6.0 368:12.0 369:16.0 370:6.0 371:10.0 373:24.0 374:20.0 375:12.0 376:3.0 377:6.0 378:6.0 379:6.0 380:7.0 381:1.0 382:4.0 383:7.0 384:5.0 385:3.0 386:5.0 387:11.0 389:7.0 390:2.0 391:17.0 392:24.0 393:14.0 394:20.0 395:4.0 396:8.0 397:2.0 398:12.0 399:16.0 400:12.0 401:16.0 402:1.0 403:6.0 404:7.0 405:8.0 406:8.0 407:15.0 408:7.0 409:8.0 410:15.0 411:5.0 412:1.0 413:10.0 414:17.0 415:11.0 416:8.0 417:10.0 418:17.0 419:7.0 420:14.0 421:9.0 422:4.0 423:5.0 424:11.0 425:2.0 426:2.0 427:16.0 429:11.0 430:2.0 431:5.0 432:5.0 433:2.0 434:6.0 436:5.0 437:5.0 439:5.0 440:7.0 441:3.0 442:13.0 443:6.0 444:10.0 445:12.0 446:2.0 447:7.0 448:14.0 449:10.0 450:2.0 451:30.0 452:19.0 453:8.0 454:8.0 455:18.0 456:6.0 457:15.0 458:7.0 459:3.0 460:5.0 461:9.0 462:11.0 463:12.0 464:7.0 465:10.0 466:26.0 467:14.0 468:14.0 469:6.0 470:5.0 471:13.0 472:8.0 473:17.0 474:6.0 475:19.0 476:7.0 477:2.0 478:12.0 479:9.0 480:6.0 481:6.0 482:14.0 483:12.0 484:8.0 485:13.0 486:7.0 487:6.0 488:7.0 489:6.0 490:6.0 491:10.0 492:10.0 493:4.0 494:13.0 495:15.0 496:11.0 497:17.0 498:8.0 499:8.0 500:9.0</t>
  </si>
  <si>
    <t>199786</t>
  </si>
  <si>
    <t>637184</t>
  </si>
  <si>
    <t>85:102.0 86:1408.0 87:121.0 88:213.0 89:128.0 90:7.0 92:39.0 94:52.0 95:2.0 96:4.0 98:31.0 99:22.0 100:751.0 101:127.0 102:162.0 103:433.0 104:15.0 106:4.0 110:20.0 112:143.0 113:26.0 114:165.0 115:53.0 116:117.0 117:142.0 119:11.0 126:2.0 127:1.0 128:204.0 129:198.0 130:345.0 131:145.0 132:71.0 133:85.0 134:6.0 139:3.0 140:17.0 141:2.0 142:82.0 143:9.0 144:24.0 145:2.0 146:115.0 147:338.0 148:45.0 149:39.0 154:2.0 155:13.0 156:594.0 157:77.0 158:43.0 159:5.0 160:7.0 162:1.0 166:5.0 167:4.0 168:128.0 169:32.0 170:9.0 171:1.0 172:45.0 173:9.0 174:3539.0 175:561.0 176:236.0 177:13.0 181:1.0 182:3.0 183:7.0 184:6.0 186:31.0 187:1.0 189:17.0 195:2.0 200:574.0 201:85.0 202:14.0 213:1.0 215:9.0 216:5.0 217:253.0 218:37.0 219:21.0 228:1.0 229:4.0 230:68.0 231:2.0 232:2.0 239:3.0 243:3.0 245:1.0 250:2.0 256:1.0 258:110.0 259:15.0 262:1.0 265:2.0 266:1.0 276:1.0 279:1.0 281:1.0 284:3.0 289:13.0 294:2.0 301:2.0 306:2.0 307:1.0 308:1.0 309:1.0 312:2.0 314:6.0 325:5.0 337:4.0 340:1.0 351:1.0 353:1.0 354:1.0 362:26.0 363:3.0 365:3.0 369:2.0 377:4.0 378:2.0 388:1.0 400:3.0 403:2.0 407:3.0 416:2.0 420:1.0 430:1.0 439:1.0 443:2.0 449:1.0 455:1.0 458:2.0 476:1.0 480:5.0 486:2.0 491:3.0 496:2.0</t>
  </si>
  <si>
    <t>199777</t>
  </si>
  <si>
    <t>675254</t>
  </si>
  <si>
    <t>85:258.0 86:162.0 87:355.0 88:172.0 89:3086.0 90:239.0 91:378.0 92:6.0 93:40.0 94:24.0 95:35.0 96:74.0 97:108.0 98:80.0 99:236.0 100:522.0 101:931.0 102:431.0 103:5496.0 104:522.0 105:624.0 106:60.0 107:16.0 108:21.0 109:202.0 110:186.0 111:194.0 112:105.0 113:189.0 114:194.0 115:462.0 116:424.0 117:2720.0 118:285.0 119:406.0 120:37.0 121:26.0 122:4.0 123:2.0 124:38.0 125:29.0 126:152.0 127:225.0 128:205.0 129:4124.0 130:1462.0 131:1386.0 132:317.0 133:2390.0 134:342.0 135:204.0 136:8.0 137:8.0 138:52.0 139:93.0 140:46.0 141:93.0 142:406.0 143:718.0 144:182.0 145:268.0 146:134.0 147:6880.0 148:1563.0 149:973.0 150:95.0 151:69.0 152:23.0 153:142.0 154:67.0 155:376.0 156:137.0 157:921.0 158:362.0 159:140.0 160:437.0 161:469.0 162:83.0 163:261.0 164:42.0 165:13.0 166:19.0 167:16.0 168:120.0 169:1895.0 170:950.0 171:254.0 172:119.0 173:116.0 174:222.0 175:124.0 176:39.0 177:99.0 178:21.0 180:18.0 181:52.0 182:25.0 183:101.0 184:44.0 185:52.0 186:276.0 187:62.0 188:35.0 189:1349.0 190:297.0 191:982.0 192:167.0 193:60.0 194:1.0 195:7.0 196:43.0 197:40.0 198:38.0 199:17.0 200:109.0 201:80.0 202:38.0 203:190.0 204:2013.0 205:703.0 206:220.0 207:112.0 208:10.0 209:2.0 211:6.0 212:36.0 213:5.0 214:38.0 215:100.0 216:116.0 217:8148.0 218:1641.0 219:1039.0 220:169.0 221:162.0 222:37.0 223:22.0 224:8.0 225:7.0 227:37.0 228:47.0 229:209.0 230:116.0 231:158.0 232:86.0 233:41.0 234:17.0 235:17.0 236:4.0 237:2.0 238:1.0 239:8.0 240:4.0 241:57.0 242:171.0 243:862.0 244:362.0 245:225.0 246:88.0 247:98.0 248:65.0 249:9.0 250:13.0 251:3.0 252:1.0 254:4.0 255:12.0 256:26.0 257:48.0 258:60.0 259:67.0 260:76.0 261:21.0 262:32.0 263:17.0 264:4.0 265:89.0 266:14.0 267:4.0 268:4.0 269:5.0 270:21.0 271:538.0 272:146.0 273:66.0 274:19.0 275:1.0 276:20.0 277:15.0 278:10.0 279:11.0 280:1.0 281:5.0 283:1.0 284:6.0 285:2.0 286:27.0 287:13.0 288:12.0 289:38.0 290:31.0 291:93.0 292:43.0 293:8.0 294:5.0 296:2.0 298:4.0 299:27.0 300:4.0 301:7.0 302:49.0 303:32.0 304:48.0 305:271.0 306:95.0 307:49.0 308:11.0 311:5.0 312:3.0 313:9.0 314:13.0 315:9.0 316:6.0 317:32.0 318:279.0 319:273.0 320:88.0 321:47.0 322:8.0 323:10.0 324:4.0 325:11.0 328:1.0 329:2.0 330:8.0 331:111.0 332:295.0 333:130.0 334:39.0 335:15.0 336:1.0 337:5.0 338:5.0 339:1.0 340:1.0 341:6.0 343:11.0 344:1.0 345:2.0 346:4.0 347:8.0 348:5.0 350:1.0 351:2.0 352:3.0 353:2.0 355:5.0 357:3.0 358:4.0 360:56.0 361:1286.0 362:495.0 363:217.0 364:67.0 365:6.0 366:1.0 367:18.0 368:3.0 369:1.0 370:2.0 371:1.0 372:4.0 373:3.0 374:1.0 375:1.0 376:2.0 377:1.0 378:1.0 379:3.0 383:2.0 385:4.0 386:4.0 387:2.0 388:4.0 389:3.0 391:7.0 392:5.0 393:8.0 394:3.0 396:2.0 397:7.0 398:6.0 401:2.0 402:6.0 405:1.0 406:2.0 407:1.0 409:3.0 410:2.0 412:4.0 415:6.0 419:12.0 420:4.0 423:6.0 424:5.0 427:9.0 429:6.0 430:5.0 431:3.0 432:10.0 433:6.0 434:7.0 435:6.0 436:5.0 437:7.0 439:3.0 440:11.0 441:7.0 442:6.0 443:3.0 445:5.0 446:5.0 448:7.0 449:5.0 451:12.0 452:6.0 453:4.0 454:3.0 455:4.0 457:1.0 458:1.0 459:6.0 460:14.0 462:2.0 463:5.0 465:6.0 466:4.0 467:9.0 468:2.0 470:5.0 473:2.0 474:2.0 475:4.0 476:4.0 479:7.0 481:3.0 482:2.0 483:7.0 484:7.0 487:2.0 489:3.0 492:4.0 497:8.0 498:1.0 499:3.0 500:1.0</t>
  </si>
  <si>
    <t>199653</t>
  </si>
  <si>
    <t>525262</t>
  </si>
  <si>
    <t>85:226.0 86:558.0 87:71.0 88:53.0 90:15.0 91:31.0 92:108.0 93:34.0 94:12.0 95:6.0 97:10.0 98:60.0 99:84.0 100:3194.0 101:317.0 102:162.0 103:23.0 104:16.0 105:3.0 106:29.0 107:45.0 108:22.0 109:34.0 111:8.0 112:40.0 113:107.0 114:446.0 115:161.0 116:175.0 117:39.0 118:52.0 119:46.0 120:15.0 121:14.0 122:69.0 123:16.0 124:5.0 125:4.0 126:15.0 127:7.0 128:11.0 129:51.0 130:593.0 131:183.0 132:96.0 133:269.0 134:64.0 135:60.0 136:23.0 137:52.0 139:15.0 140:8.0 141:1.0 142:21.0 143:5.0 144:17.0 145:14.0 146:77.0 147:817.0 148:194.0 149:100.0 150:4.0 151:11.0 152:12.0 153:8.0 154:5.0 155:10.0 156:21.0 157:5.0 158:26.0 160:20.0 161:15.0 162:18.0 163:8.0 164:4.0 166:4.0 167:3.0 168:1.0 169:6.0 170:9.0 171:11.0 172:301.0 173:61.0 174:442.0 175:86.0 176:144.0 177:5.0 178:25.0 179:17.0 180:1.0 181:7.0 182:9.0 183:7.0 184:14.0 185:1.0 187:34.0 188:1739.0 189:307.0 190:136.0 191:36.0 192:3.0 193:1.0 194:34.0 195:12.0 196:9.0 197:8.0 198:12.0 199:2.0 200:18.0 202:11.0 203:1.0 204:5.0 205:7.0 206:4.0 207:9.0 208:6.0 209:13.0 210:8.0 212:10.0 213:16.0 214:18.0 215:5.0 216:2.0 218:8.0 219:8.0 220:4.0 221:1.0 222:18.0 223:8.0 224:22.0 225:18.0 226:8.0 227:19.0 228:7.0 229:28.0 230:8.0 231:15.0 232:10.0 233:7.0 235:4.0 236:5.0 237:1.0 239:12.0 240:2.0 241:4.0 243:5.0 245:8.0 246:3.0 247:13.0 248:45.0 249:13.0 251:10.0 252:18.0 253:20.0 254:10.0 255:10.0 256:11.0 257:3.0 258:10.0 259:8.0 260:4.0 261:9.0 262:14.0 263:6.0 264:12.0 265:7.0 266:7.0 267:2.0 268:8.0 270:14.0 271:2.0 272:5.0 273:13.0 274:9.0 275:13.0 276:1.0 277:2.0 278:14.0 279:1.0 280:9.0 281:8.0 282:10.0 283:12.0 284:12.0 285:11.0 286:8.0 287:2.0 288:16.0 289:11.0 291:11.0 293:1.0 294:7.0 295:9.0 296:8.0 298:10.0 299:1.0 300:3.0 301:14.0 302:2.0 304:5.0 305:11.0 306:2.0 307:5.0 308:10.0 309:5.0 310:42.0 311:2.0 312:24.0 313:6.0 314:13.0 315:12.0 317:4.0 318:1.0 319:2.0 320:4.0 321:2.0 322:7.0 323:3.0 324:23.0 326:10.0 327:12.0 329:3.0 330:7.0 331:1.0 333:15.0 334:7.0 335:4.0 336:11.0 337:7.0 338:7.0 339:15.0 340:6.0 341:3.0 342:10.0 343:4.0 344:2.0 345:7.0 346:9.0 347:1.0 348:8.0 349:2.0 350:7.0 351:4.0 352:13.0 354:7.0 355:4.0 356:1.0 357:8.0 358:8.0 359:11.0 361:10.0 362:7.0 363:9.0 364:8.0 365:2.0 367:4.0 369:13.0 370:12.0 371:7.0 372:5.0 373:3.0 374:4.0 375:7.0 376:3.0 377:10.0 378:7.0 379:21.0 380:7.0 381:6.0 382:7.0 383:5.0 385:14.0 386:7.0 387:2.0 388:3.0 391:3.0 392:3.0 393:3.0 394:3.0 395:22.0 396:25.0 397:7.0 398:11.0 399:2.0 401:1.0 402:8.0 408:11.0 409:11.0 410:3.0 411:8.0 413:2.0 414:1.0 415:2.0 416:6.0 417:11.0 418:7.0 419:17.0 420:13.0 421:2.0 423:1.0 424:7.0 425:7.0 426:5.0 427:2.0 428:29.0 430:8.0 432:2.0 433:14.0 434:5.0 435:11.0 437:2.0 438:16.0 439:13.0 440:11.0 441:8.0 442:2.0 443:24.0 444:5.0 445:1.0 446:3.0 448:7.0 449:10.0 450:12.0 451:1.0 452:15.0 454:3.0 455:11.0 457:10.0 458:15.0 460:7.0 461:2.0 463:5.0 464:10.0 465:14.0 466:12.0 467:3.0 468:9.0 469:4.0 470:1.0 471:9.0 472:2.0 473:16.0 474:4.0 475:2.0 476:13.0 477:10.0 478:1.0 479:12.0 480:13.0 481:9.0 483:3.0 484:8.0 485:2.0 486:14.0 487:11.0 488:3.0 489:5.0 490:11.0 491:8.0 492:3.0 493:8.0 495:18.0 498:4.0 499:13.0 500:6.0</t>
  </si>
  <si>
    <t>199596</t>
  </si>
  <si>
    <t>246426</t>
  </si>
  <si>
    <t>85:23022.0 86:1166.0 89:53.0 91:38.0 92:26.0 94:12.0 95:19.0 98:4618.0 99:4120.0 100:151.0 101:56.0 102:55.0 105:14.0 107:182.0 108:2.0 109:54.0 110:108.0 112:1849.0 113:2524.0 114:164.0 115:265.0 117:699.0 118:122.0 119:9.0 120:7.0 121:132.0 122:1.0 123:19.0 125:40.0 126:711.0 127:1373.0 128:136.0 129:15.0 130:249.0 131:31.0 132:131.0 133:20.0 134:219.0 135:39.0 137:17.0 141:34.0 143:27.0 144:3.0 150:5.0 151:3.0 153:20.0 154:43.0 155:26.0 156:1751.0 157:177.0 158:14.0 159:7.0 166:2.0 169:2.0 170:19.0 171:7.0 178:2.0 180:2.0 181:2.0 183:4.0 186:3.0 190:6.0 191:13.0 193:7.0 197:2.0 198:4.0 202:2.0 212:2.0 213:7.0 214:2.0 215:2.0 220:2.0 224:10.0 228:2.0 229:2.0 231:9.0 235:4.0 240:2.0 241:2.0 243:9.0 245:5.0 256:2.0 258:7.0 259:14.0 260:4.0 262:9.0 264:9.0 267:4.0 268:2.0 270:2.0 277:14.0 281:2.0 284:2.0 291:2.0 293:12.0 295:19.0 296:2.0 298:17.0 300:7.0 302:1.0 306:2.0 307:10.0 308:7.0 311:2.0 316:2.0 322:2.0 324:7.0 334:2.0 336:2.0 337:4.0 340:7.0 343:5.0 344:6.0 345:4.0 349:2.0 350:4.0 351:9.0 352:4.0 357:17.0 359:7.0 361:2.0 366:1.0 372:2.0 376:2.0 377:2.0 379:7.0 381:2.0 382:2.0 385:1.0 387:5.0 389:7.0 391:2.0 396:4.0 397:4.0 398:2.0 399:2.0 404:7.0 415:5.0 416:2.0 417:10.0 418:4.0 424:2.0 425:2.0 426:4.0 427:4.0 436:11.0 440:7.0 442:4.0 443:5.0 445:7.0 449:7.0 450:2.0 455:2.0 456:7.0 458:7.0 462:2.0 471:2.0 472:2.0 476:12.0 477:2.0 483:2.0 485:1.0 486:4.0 487:4.0 488:2.0 492:9.0 493:4.0 494:4.0 496:12.0 498:12.0</t>
  </si>
  <si>
    <t>199213</t>
  </si>
  <si>
    <t>589860</t>
  </si>
  <si>
    <t>85:162.0 87:1005.0 88:11.0 92:52.0 93:7.0 94:3.0 95:17.0 96:1.0 97:52.0 98:17.0 99:27.0 100:4.0 101:66.0 106:3.0 107:4.0 108:10.0 109:21.0 110:4.0 111:9.0 113:7.0 114:19.0 115:8.0 116:48.0 117:45.0 122:2.0 123:2.0 125:4.0 127:22.0 128:13.0 129:171.0 130:1.0 131:76.0 133:312.0 134:62.0 136:2.0 139:10.0 141:10.0 142:36.0 143:141.0 144:32.0 147:743.0 148:36.0 149:57.0 151:9.0 152:10.0 153:3.0 155:33.0 156:9.0 157:35.0 159:9.0 160:5.0 161:16.0 165:7.0 167:6.0 168:4.0 169:75.0 170:4.0 172:9.0 174:4.0 178:7.0 180:2.0 181:13.0 182:13.0 183:9.0 184:8.0 185:36.0 188:13.0 191:114.0 192:16.0 193:17.0 195:1.0 196:11.0 197:20.0 199:25.0 201:1.0 202:1.0 205:11.0 206:2.0 208:18.0 209:11.0 210:4.0 211:13.0 212:6.0 215:3.0 216:7.0 217:3555.0 218:575.0 219:301.0 220:24.0 221:16.0 223:3.0 224:7.0 228:6.0 229:23.0 230:35.0 231:35.0 232:74.0 233:14.0 234:5.0 236:9.0 238:8.0 239:5.0 240:2.0 243:18.0 245:7.0 246:19.0 251:5.0 252:4.0 253:3.0 254:8.0 255:3.0 256:14.0 257:165.0 258:24.0 259:14.0 260:2.0 261:3.0 262:2.0 263:5.0 264:7.0 269:4.0 270:5.0 271:1.0 278:2.0 279:1.0 280:6.0 284:2.0 285:6.0 287:4.0 288:7.0 289:7.0 290:10.0 291:2.0 292:14.0 293:10.0 294:3.0 295:5.0 296:3.0 297:4.0 298:7.0 300:5.0 305:8.0 306:4.0 307:2.0 309:10.0 310:6.0 311:7.0 312:2.0 313:2.0 314:7.0 317:3.0 318:8.0 319:2.0 320:12.0 322:8.0 328:3.0 330:4.0 331:2.0 332:7.0 333:14.0 334:5.0 335:1.0 336:15.0 337:7.0 338:9.0 339:5.0 340:6.0 341:13.0 342:3.0 343:3.0 345:7.0 346:17.0 347:4.0 348:3.0 349:1.0 350:1.0 351:4.0 352:2.0 353:4.0 354:6.0 355:4.0 357:8.0 358:7.0 360:2.0 361:5.0 363:16.0 365:14.0 366:10.0 367:5.0 368:2.0 369:5.0 371:4.0 372:6.0 374:3.0 375:6.0 376:6.0 377:7.0 379:8.0 381:3.0 382:2.0 383:1.0 384:6.0 385:1.0 386:2.0 387:4.0 388:1.0 396:4.0 398:4.0 400:14.0 401:2.0 402:4.0 403:11.0 405:5.0 406:4.0 407:13.0 408:5.0 409:6.0 411:10.0 412:7.0 414:3.0 415:1.0 418:5.0 420:10.0 421:5.0 424:3.0 425:3.0 426:3.0 427:15.0 428:2.0 430:5.0 433:14.0 434:3.0 435:12.0 436:2.0 437:5.0 439:1.0 440:4.0 441:3.0 442:11.0 443:1.0 444:11.0 445:6.0 446:3.0 448:8.0 449:10.0 450:42.0 451:34.0 452:10.0 453:5.0 454:9.0 456:3.0 457:2.0 458:3.0 460:5.0 461:2.0 462:6.0 464:6.0 465:3.0 466:3.0 467:5.0 469:9.0 471:4.0 472:8.0 473:2.0 475:4.0 476:3.0 478:5.0 479:10.0 480:5.0 481:1.0 482:4.0 483:11.0 484:2.0 485:4.0 486:5.0 487:5.0 488:5.0 489:6.0 490:2.0 491:4.0 492:2.0 493:1.0 494:14.0 495:7.0 497:7.0 498:4.0</t>
  </si>
  <si>
    <t>1,2,4-benzenetriol</t>
  </si>
  <si>
    <t>524257</t>
  </si>
  <si>
    <t>87:1568.0 88:735.0 89:3045.0 90:320.0 91:1621.0 92:33.0 93:2082.0 94:2374.0 95:1415.0 97:2084.0 98:5194.0 99:2583.0 100:2992.0 101:4448.0 102:2822.0 103:9640.0 104:1041.0 105:1711.0 106:524.0 107:1049.0 108:2002.0 109:1273.0 110:1896.0 111:1543.0 112:1821.0 113:1392.0 114:2187.0 115:372.0 116:6226.0 117:3469.0 118:1475.0 119:1548.0 120:658.0 121:339.0 122:1239.0 123:604.0 124:1150.0 125:1136.0 126:250.0 127:1020.0 128:125.0 129:12078.0 130:4612.0 131:11969.0 132:2519.0 133:6532.0 134:970.0 135:1051.0 136:447.0 137:1456.0 138:724.0 140:2510.0 141:999.0 142:1737.0 143:3101.0 145:616.0 147:15818.0 148:2689.0 149:1163.0 150:1243.0 151:434.0 152:484.0 153:379.0 154:2080.0 155:9605.0 156:2587.0 157:13974.0 158:4086.0 159:4703.0 160:160.0 161:519.0 162:122.0 163:397.0 164:300.0 165:817.0 166:941.0 167:383.0 168:1079.0 169:842.0 170:965.0 171:1218.0 172:580.0 173:2538.0 177:96.0 178:197.0 179:1632.0 180:696.0 181:550.0 182:2200.0 183:1357.0 184:274.0 185:63.0 186:157.0 187:177.0 188:3359.0 189:1293.0 190:1000.0 191:371.0 192:411.0 193:185.0 194:2.0 195:72.0 196:263.0 197:1020.0 198:173.0 199:2984.0 200:618.0 201:212.0 202:497.0 203:669.0 204:78.0 206:438.0 209:216.0 211:2972.0 212:851.0 213:581.0 214:615.0 215:409.0 216:2229.0 217:54.0 218:288.0 220:239.0 223:300.0 224:54.0 225:183.0 227:52.0 228:198.0 229:184.0 231:743.0 232:670.0 233:42.0 234:322.0 235:709.0 236:246.0 237:381.0 238:600.0 239:22905.0 240:5154.0 241:1697.0 242:77.0 244:131.0 246:169.0 249:47.0 250:5.0 251:425.0 252:11.0 254:2338.0 255:572.0 256:166.0 258:192.0 260:2342.0 261:720.0 262:362.0 263:91.0 264:55.0 265:257.0 267:507.0 268:154.0 269:61.0 270:115.0 271:856.0 272:466.0 273:311.0 275:81.0 276:87.0 277:54.0 278:156.0 279:175.0 280:182.0 283:27.0 284:194.0 286:1.0 287:23.0 288:5.0 289:818.0 290:200.0 291:1162.0 292:360.0 293:122.0 294:1420.0 295:183.0 296:87.0 297:70.0 299:42.0 300:26.0 301:45.0 302:2769.0 303:1085.0 304:1159.0 305:365.0 306:241.0 307:473.0 308:22.0 310:6.0 311:107.0 313:110.0 314:85.0 315:80.0 316:58.0 317:1.0 318:8.0 320:1261.0 321:393.0 322:86.0 323:40.0 324:17.0 325:369.0 326:7.0 327:1302.0 328:400.0 329:194.0 330:123.0 331:10.0 332:83.0 333:1.0 336:67.0 337:81.0 338:9.0 341:118.0 342:10987.0 343:3929.0 344:1657.0 345:367.0 346:53.0 349:13.0 352:2.0 353:20.0 361:26.0 363:71.0 364:35.0 374:78.0 375:6.0 377:2.0 381:37.0 390:54.0 395:17.0 396:89.0 397:24.0 404:18.0 405:64.0 406:22.0 407:10.0 408:17.0 413:5.0 415:4.0 419:71.0 420:98.0 421:44.0 423:3.0 428:3.0 433:61.0 440:14.0 448:9.0 460:7.0 463:2.0 469:7.0 477:16.0 481:1.0 483:5.0 485:5.0 486:7.0 499:20.0</t>
  </si>
  <si>
    <t>tagatose</t>
  </si>
  <si>
    <t>fructose</t>
  </si>
  <si>
    <t>glucose</t>
  </si>
  <si>
    <t>glucose-6-phosphate</t>
  </si>
  <si>
    <t>gluconic acid lactone</t>
  </si>
  <si>
    <t>galactose-6-phosphate</t>
  </si>
  <si>
    <t>pyrophosphate</t>
  </si>
  <si>
    <t>N-acetyl-D-mannosamine</t>
  </si>
  <si>
    <t>N-acetylaspartic acid</t>
  </si>
  <si>
    <t>2-ketoisocaproic acid</t>
  </si>
  <si>
    <t>BinBase name</t>
  </si>
  <si>
    <t>Ret.index</t>
  </si>
  <si>
    <t>quant mz</t>
  </si>
  <si>
    <t>BB id</t>
  </si>
  <si>
    <t>mass spec</t>
  </si>
  <si>
    <t>KEGG id</t>
  </si>
  <si>
    <t>PubChem id</t>
  </si>
  <si>
    <t>miniX class</t>
  </si>
  <si>
    <t>miniX study</t>
  </si>
  <si>
    <t>miniX sample</t>
  </si>
  <si>
    <t>species</t>
  </si>
  <si>
    <t>cell</t>
  </si>
  <si>
    <t>label</t>
  </si>
  <si>
    <t>comment</t>
  </si>
  <si>
    <t>file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</si>
</sst>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E+00"/>
  </numFmts>
  <fonts count="3" x14ac:knownFonts="1">
    <font>
      <sz val="10"/>
      <name val="Arial"/>
    </font>
    <font>
      <sz val="10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13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 applyNumberFormat="0" applyFont="0" applyFill="0" applyBorder="0" applyAlignment="0" applyProtection="0"/>
  </cellStyleXfs>
  <cellXfs count="11">
    <xf numFmtId="0" fontId="0" fillId="0" borderId="0" xfId="0" applyNumberFormat="1" applyFont="1" applyFill="1" applyBorder="1" applyAlignment="1"/>
    <xf numFmtId="0" fontId="1" fillId="3" borderId="0" xfId="0" applyFont="1" applyFill="1" applyAlignment="1">
      <alignment horizontal="left"/>
    </xf>
    <xf numFmtId="0" fontId="2" fillId="2" borderId="0" xfId="0" applyNumberFormat="1" applyFont="1" applyFill="1" applyBorder="1" applyAlignment="1"/>
    <xf numFmtId="0" fontId="2" fillId="2" borderId="0" xfId="0" applyFont="1" applyFill="1" applyAlignment="1">
      <alignment horizontal="left"/>
    </xf>
    <xf numFmtId="0" fontId="2" fillId="2" borderId="0" xfId="0" applyNumberFormat="1" applyFont="1" applyFill="1" applyBorder="1" applyAlignment="1">
      <alignment horizontal="left"/>
    </xf>
    <xf numFmtId="0" fontId="0" fillId="4" borderId="0" xfId="0" applyNumberFormat="1" applyFont="1" applyFill="1" applyBorder="1" applyAlignment="1"/>
    <xf numFmtId="0" fontId="1" fillId="4" borderId="0" xfId="0" applyFont="1" applyFill="1" applyAlignment="1">
      <alignment horizontal="left"/>
    </xf>
    <xf numFmtId="164" fontId="2" fillId="2" borderId="0" xfId="0" applyNumberFormat="1" applyFont="1" applyFill="1" applyBorder="1" applyAlignment="1">
      <alignment horizontal="left"/>
    </xf>
    <xf numFmtId="1" fontId="1" fillId="4" borderId="0" xfId="0" applyNumberFormat="1" applyFont="1" applyFill="1" applyAlignment="1">
      <alignment horizontal="left"/>
    </xf>
    <xf numFmtId="1" fontId="0" fillId="0" borderId="0" xfId="0" applyNumberFormat="1" applyFont="1" applyFill="1" applyBorder="1" applyAlignment="1"/>
    <xf numFmtId="0" fontId="1" fillId="4" borderId="0" xfId="0" applyNumberFormat="1" applyFont="1" applyFill="1" applyBorder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I352"/>
  <sheetViews>
    <sheetView tabSelected="1" workbookViewId="0">
      <pane xSplit="8" ySplit="9" topLeftCell="I10" activePane="bottomRight" state="frozen"/>
      <selection pane="topRight" activeCell="I1" sqref="I1"/>
      <selection pane="bottomLeft" activeCell="A10" sqref="A10"/>
      <selection pane="bottomRight" activeCell="H27" sqref="H27"/>
    </sheetView>
  </sheetViews>
  <sheetFormatPr defaultRowHeight="12.75" x14ac:dyDescent="0.2"/>
  <cols>
    <col min="1" max="1" width="28.85546875" customWidth="1"/>
    <col min="8" max="9" width="17.140625" customWidth="1"/>
  </cols>
  <sheetData>
    <row r="1" spans="1:165" x14ac:dyDescent="0.2">
      <c r="A1" s="5"/>
      <c r="B1" s="5"/>
      <c r="C1" s="5"/>
      <c r="D1" s="5"/>
      <c r="E1" s="5"/>
      <c r="F1" s="5"/>
      <c r="G1" s="5"/>
      <c r="H1" s="10" t="s">
        <v>1435</v>
      </c>
      <c r="I1" s="2" t="s">
        <v>44</v>
      </c>
      <c r="J1" s="2" t="s">
        <v>44</v>
      </c>
      <c r="K1" s="2" t="s">
        <v>44</v>
      </c>
      <c r="L1" s="2" t="s">
        <v>44</v>
      </c>
      <c r="M1" s="2" t="s">
        <v>44</v>
      </c>
      <c r="N1" s="2" t="s">
        <v>44</v>
      </c>
      <c r="O1" s="2" t="s">
        <v>30</v>
      </c>
      <c r="P1" s="2" t="s">
        <v>30</v>
      </c>
      <c r="Q1" s="2" t="s">
        <v>30</v>
      </c>
      <c r="R1" s="2" t="s">
        <v>30</v>
      </c>
      <c r="S1" s="2" t="s">
        <v>30</v>
      </c>
      <c r="T1" s="2" t="s">
        <v>30</v>
      </c>
      <c r="U1" s="2" t="s">
        <v>114</v>
      </c>
      <c r="V1" s="2" t="s">
        <v>114</v>
      </c>
      <c r="W1" s="2" t="s">
        <v>114</v>
      </c>
      <c r="X1" s="2" t="s">
        <v>114</v>
      </c>
      <c r="Y1" s="2" t="s">
        <v>114</v>
      </c>
      <c r="Z1" s="2" t="s">
        <v>114</v>
      </c>
      <c r="AA1" s="2" t="s">
        <v>100</v>
      </c>
      <c r="AB1" s="2" t="s">
        <v>100</v>
      </c>
      <c r="AC1" s="2" t="s">
        <v>100</v>
      </c>
      <c r="AD1" s="2" t="s">
        <v>100</v>
      </c>
      <c r="AE1" s="2" t="s">
        <v>100</v>
      </c>
      <c r="AF1" s="2" t="s">
        <v>100</v>
      </c>
      <c r="AG1" s="2" t="s">
        <v>86</v>
      </c>
      <c r="AH1" s="2" t="s">
        <v>86</v>
      </c>
      <c r="AI1" s="2" t="s">
        <v>86</v>
      </c>
      <c r="AJ1" s="2" t="s">
        <v>86</v>
      </c>
      <c r="AK1" s="2" t="s">
        <v>86</v>
      </c>
      <c r="AL1" s="2" t="s">
        <v>86</v>
      </c>
      <c r="AM1" s="2" t="s">
        <v>58</v>
      </c>
      <c r="AN1" s="2" t="s">
        <v>58</v>
      </c>
      <c r="AO1" s="2" t="s">
        <v>58</v>
      </c>
      <c r="AP1" s="2" t="s">
        <v>58</v>
      </c>
      <c r="AQ1" s="2" t="s">
        <v>58</v>
      </c>
      <c r="AR1" s="2" t="s">
        <v>58</v>
      </c>
      <c r="AS1" s="2" t="s">
        <v>72</v>
      </c>
      <c r="AT1" s="2" t="s">
        <v>72</v>
      </c>
      <c r="AU1" s="2" t="s">
        <v>72</v>
      </c>
      <c r="AV1" s="2" t="s">
        <v>72</v>
      </c>
      <c r="AW1" s="2" t="s">
        <v>72</v>
      </c>
      <c r="AX1" s="2" t="s">
        <v>72</v>
      </c>
      <c r="AY1" s="2" t="s">
        <v>16</v>
      </c>
      <c r="AZ1" s="2" t="s">
        <v>16</v>
      </c>
      <c r="BA1" s="2" t="s">
        <v>16</v>
      </c>
      <c r="BB1" s="2" t="s">
        <v>16</v>
      </c>
      <c r="BC1" s="2" t="s">
        <v>16</v>
      </c>
      <c r="BD1" s="2" t="s">
        <v>16</v>
      </c>
      <c r="BE1" s="2" t="s">
        <v>0</v>
      </c>
      <c r="BF1" s="2" t="s">
        <v>0</v>
      </c>
      <c r="BG1" s="2" t="s">
        <v>0</v>
      </c>
      <c r="BH1" s="2" t="s">
        <v>0</v>
      </c>
      <c r="BI1" s="2" t="s">
        <v>0</v>
      </c>
      <c r="BJ1" s="2" t="s">
        <v>0</v>
      </c>
      <c r="BK1" s="2" t="s">
        <v>170</v>
      </c>
      <c r="BL1" s="2" t="s">
        <v>170</v>
      </c>
      <c r="BM1" s="2" t="s">
        <v>170</v>
      </c>
      <c r="BN1" s="2" t="s">
        <v>170</v>
      </c>
      <c r="BO1" s="2" t="s">
        <v>170</v>
      </c>
      <c r="BP1" s="2" t="s">
        <v>170</v>
      </c>
      <c r="BQ1" s="2" t="s">
        <v>142</v>
      </c>
      <c r="BR1" s="2" t="s">
        <v>142</v>
      </c>
      <c r="BS1" s="2" t="s">
        <v>142</v>
      </c>
      <c r="BT1" s="2" t="s">
        <v>142</v>
      </c>
      <c r="BU1" s="2" t="s">
        <v>142</v>
      </c>
      <c r="BV1" s="2" t="s">
        <v>142</v>
      </c>
      <c r="BW1" s="2" t="s">
        <v>128</v>
      </c>
      <c r="BX1" s="2" t="s">
        <v>128</v>
      </c>
      <c r="BY1" s="2" t="s">
        <v>128</v>
      </c>
      <c r="BZ1" s="2" t="s">
        <v>128</v>
      </c>
      <c r="CA1" s="2" t="s">
        <v>128</v>
      </c>
      <c r="CB1" s="2" t="s">
        <v>128</v>
      </c>
      <c r="CC1" s="2" t="s">
        <v>156</v>
      </c>
      <c r="CD1" s="2" t="s">
        <v>156</v>
      </c>
      <c r="CE1" s="2" t="s">
        <v>156</v>
      </c>
      <c r="CF1" s="2" t="s">
        <v>156</v>
      </c>
      <c r="CG1" s="2" t="s">
        <v>156</v>
      </c>
      <c r="CH1" s="2" t="s">
        <v>156</v>
      </c>
    </row>
    <row r="2" spans="1:165" x14ac:dyDescent="0.2">
      <c r="A2" s="5"/>
      <c r="B2" s="5"/>
      <c r="C2" s="5"/>
      <c r="D2" s="5"/>
      <c r="E2" s="5"/>
      <c r="F2" s="5"/>
      <c r="G2" s="5"/>
      <c r="H2" s="10" t="s">
        <v>1436</v>
      </c>
      <c r="I2" s="4">
        <v>69088</v>
      </c>
      <c r="J2" s="4">
        <v>69088</v>
      </c>
      <c r="K2" s="4">
        <v>69088</v>
      </c>
      <c r="L2" s="4">
        <v>69088</v>
      </c>
      <c r="M2" s="4">
        <v>69088</v>
      </c>
      <c r="N2" s="4">
        <v>69088</v>
      </c>
      <c r="O2" s="4">
        <v>69088</v>
      </c>
      <c r="P2" s="4">
        <v>69088</v>
      </c>
      <c r="Q2" s="4">
        <v>69088</v>
      </c>
      <c r="R2" s="4">
        <v>69088</v>
      </c>
      <c r="S2" s="4">
        <v>69088</v>
      </c>
      <c r="T2" s="4">
        <v>69088</v>
      </c>
      <c r="U2" s="4">
        <v>69088</v>
      </c>
      <c r="V2" s="4">
        <v>69088</v>
      </c>
      <c r="W2" s="4">
        <v>69088</v>
      </c>
      <c r="X2" s="4">
        <v>69088</v>
      </c>
      <c r="Y2" s="4">
        <v>69088</v>
      </c>
      <c r="Z2" s="4">
        <v>69088</v>
      </c>
      <c r="AA2" s="4">
        <v>69088</v>
      </c>
      <c r="AB2" s="4">
        <v>69088</v>
      </c>
      <c r="AC2" s="4">
        <v>69088</v>
      </c>
      <c r="AD2" s="4">
        <v>69088</v>
      </c>
      <c r="AE2" s="4">
        <v>69088</v>
      </c>
      <c r="AF2" s="4">
        <v>69088</v>
      </c>
      <c r="AG2" s="4">
        <v>69088</v>
      </c>
      <c r="AH2" s="4">
        <v>69088</v>
      </c>
      <c r="AI2" s="4">
        <v>69088</v>
      </c>
      <c r="AJ2" s="4">
        <v>69088</v>
      </c>
      <c r="AK2" s="4">
        <v>69088</v>
      </c>
      <c r="AL2" s="4">
        <v>69088</v>
      </c>
      <c r="AM2" s="4">
        <v>69088</v>
      </c>
      <c r="AN2" s="4">
        <v>69088</v>
      </c>
      <c r="AO2" s="4">
        <v>69088</v>
      </c>
      <c r="AP2" s="4">
        <v>69088</v>
      </c>
      <c r="AQ2" s="4">
        <v>69088</v>
      </c>
      <c r="AR2" s="4">
        <v>69088</v>
      </c>
      <c r="AS2" s="4">
        <v>69088</v>
      </c>
      <c r="AT2" s="4">
        <v>69088</v>
      </c>
      <c r="AU2" s="4">
        <v>69088</v>
      </c>
      <c r="AV2" s="4">
        <v>69088</v>
      </c>
      <c r="AW2" s="4">
        <v>69088</v>
      </c>
      <c r="AX2" s="4">
        <v>69088</v>
      </c>
      <c r="AY2" s="4">
        <v>69088</v>
      </c>
      <c r="AZ2" s="4">
        <v>69088</v>
      </c>
      <c r="BA2" s="4">
        <v>69088</v>
      </c>
      <c r="BB2" s="4">
        <v>69088</v>
      </c>
      <c r="BC2" s="4">
        <v>69088</v>
      </c>
      <c r="BD2" s="4">
        <v>69088</v>
      </c>
      <c r="BE2" s="4">
        <v>69088</v>
      </c>
      <c r="BF2" s="4">
        <v>69088</v>
      </c>
      <c r="BG2" s="4">
        <v>69088</v>
      </c>
      <c r="BH2" s="4">
        <v>69088</v>
      </c>
      <c r="BI2" s="4">
        <v>69088</v>
      </c>
      <c r="BJ2" s="4">
        <v>69088</v>
      </c>
      <c r="BK2" s="4">
        <v>69088</v>
      </c>
      <c r="BL2" s="4">
        <v>69088</v>
      </c>
      <c r="BM2" s="4">
        <v>69088</v>
      </c>
      <c r="BN2" s="4">
        <v>69088</v>
      </c>
      <c r="BO2" s="4">
        <v>69088</v>
      </c>
      <c r="BP2" s="4">
        <v>69088</v>
      </c>
      <c r="BQ2" s="4">
        <v>69088</v>
      </c>
      <c r="BR2" s="4">
        <v>69088</v>
      </c>
      <c r="BS2" s="4">
        <v>69088</v>
      </c>
      <c r="BT2" s="4">
        <v>69088</v>
      </c>
      <c r="BU2" s="4">
        <v>69088</v>
      </c>
      <c r="BV2" s="4">
        <v>69088</v>
      </c>
      <c r="BW2" s="4">
        <v>69088</v>
      </c>
      <c r="BX2" s="4">
        <v>69088</v>
      </c>
      <c r="BY2" s="4">
        <v>69088</v>
      </c>
      <c r="BZ2" s="4">
        <v>69088</v>
      </c>
      <c r="CA2" s="4">
        <v>69088</v>
      </c>
      <c r="CB2" s="4">
        <v>69088</v>
      </c>
      <c r="CC2" s="4">
        <v>69088</v>
      </c>
      <c r="CD2" s="4">
        <v>69088</v>
      </c>
      <c r="CE2" s="4">
        <v>69088</v>
      </c>
      <c r="CF2" s="4">
        <v>69088</v>
      </c>
      <c r="CG2" s="4">
        <v>69088</v>
      </c>
      <c r="CH2" s="4">
        <v>69088</v>
      </c>
    </row>
    <row r="3" spans="1:165" x14ac:dyDescent="0.2">
      <c r="A3" s="5"/>
      <c r="B3" s="5"/>
      <c r="C3" s="5"/>
      <c r="D3" s="5"/>
      <c r="E3" s="5"/>
      <c r="F3" s="5"/>
      <c r="G3" s="5"/>
      <c r="H3" s="10" t="s">
        <v>1440</v>
      </c>
      <c r="I3" s="2" t="s">
        <v>46</v>
      </c>
      <c r="J3" s="2" t="s">
        <v>49</v>
      </c>
      <c r="K3" s="2" t="s">
        <v>51</v>
      </c>
      <c r="L3" s="2" t="s">
        <v>53</v>
      </c>
      <c r="M3" s="2" t="s">
        <v>55</v>
      </c>
      <c r="N3" s="2" t="s">
        <v>57</v>
      </c>
      <c r="O3" s="2" t="s">
        <v>32</v>
      </c>
      <c r="P3" s="2" t="s">
        <v>35</v>
      </c>
      <c r="Q3" s="2" t="s">
        <v>37</v>
      </c>
      <c r="R3" s="2" t="s">
        <v>39</v>
      </c>
      <c r="S3" s="2" t="s">
        <v>41</v>
      </c>
      <c r="T3" s="2" t="s">
        <v>43</v>
      </c>
      <c r="U3" s="2" t="s">
        <v>116</v>
      </c>
      <c r="V3" s="2" t="s">
        <v>119</v>
      </c>
      <c r="W3" s="2" t="s">
        <v>121</v>
      </c>
      <c r="X3" s="2" t="s">
        <v>123</v>
      </c>
      <c r="Y3" s="2" t="s">
        <v>125</v>
      </c>
      <c r="Z3" s="2" t="s">
        <v>127</v>
      </c>
      <c r="AA3" s="2" t="s">
        <v>102</v>
      </c>
      <c r="AB3" s="2" t="s">
        <v>105</v>
      </c>
      <c r="AC3" s="2" t="s">
        <v>107</v>
      </c>
      <c r="AD3" s="2" t="s">
        <v>109</v>
      </c>
      <c r="AE3" s="2" t="s">
        <v>111</v>
      </c>
      <c r="AF3" s="2" t="s">
        <v>113</v>
      </c>
      <c r="AG3" s="2" t="s">
        <v>88</v>
      </c>
      <c r="AH3" s="2" t="s">
        <v>91</v>
      </c>
      <c r="AI3" s="2" t="s">
        <v>93</v>
      </c>
      <c r="AJ3" s="2" t="s">
        <v>95</v>
      </c>
      <c r="AK3" s="2" t="s">
        <v>97</v>
      </c>
      <c r="AL3" s="2" t="s">
        <v>99</v>
      </c>
      <c r="AM3" s="2" t="s">
        <v>60</v>
      </c>
      <c r="AN3" s="2" t="s">
        <v>63</v>
      </c>
      <c r="AO3" s="2" t="s">
        <v>65</v>
      </c>
      <c r="AP3" s="2" t="s">
        <v>67</v>
      </c>
      <c r="AQ3" s="2" t="s">
        <v>69</v>
      </c>
      <c r="AR3" s="2" t="s">
        <v>71</v>
      </c>
      <c r="AS3" s="2" t="s">
        <v>74</v>
      </c>
      <c r="AT3" s="2" t="s">
        <v>77</v>
      </c>
      <c r="AU3" s="2" t="s">
        <v>79</v>
      </c>
      <c r="AV3" s="2" t="s">
        <v>81</v>
      </c>
      <c r="AW3" s="2" t="s">
        <v>83</v>
      </c>
      <c r="AX3" s="2" t="s">
        <v>85</v>
      </c>
      <c r="AY3" s="2" t="s">
        <v>18</v>
      </c>
      <c r="AZ3" s="2" t="s">
        <v>21</v>
      </c>
      <c r="BA3" s="2" t="s">
        <v>23</v>
      </c>
      <c r="BB3" s="2" t="s">
        <v>25</v>
      </c>
      <c r="BC3" s="2" t="s">
        <v>27</v>
      </c>
      <c r="BD3" s="2" t="s">
        <v>29</v>
      </c>
      <c r="BE3" s="2" t="s">
        <v>2</v>
      </c>
      <c r="BF3" s="2" t="s">
        <v>7</v>
      </c>
      <c r="BG3" s="2" t="s">
        <v>9</v>
      </c>
      <c r="BH3" s="2" t="s">
        <v>11</v>
      </c>
      <c r="BI3" s="2" t="s">
        <v>13</v>
      </c>
      <c r="BJ3" s="2" t="s">
        <v>15</v>
      </c>
      <c r="BK3" s="2" t="s">
        <v>172</v>
      </c>
      <c r="BL3" s="2" t="s">
        <v>175</v>
      </c>
      <c r="BM3" s="2" t="s">
        <v>177</v>
      </c>
      <c r="BN3" s="2" t="s">
        <v>179</v>
      </c>
      <c r="BO3" s="2" t="s">
        <v>181</v>
      </c>
      <c r="BP3" s="2" t="s">
        <v>183</v>
      </c>
      <c r="BQ3" s="2" t="s">
        <v>144</v>
      </c>
      <c r="BR3" s="2" t="s">
        <v>147</v>
      </c>
      <c r="BS3" s="2" t="s">
        <v>149</v>
      </c>
      <c r="BT3" s="2" t="s">
        <v>151</v>
      </c>
      <c r="BU3" s="2" t="s">
        <v>153</v>
      </c>
      <c r="BV3" s="2" t="s">
        <v>155</v>
      </c>
      <c r="BW3" s="2" t="s">
        <v>130</v>
      </c>
      <c r="BX3" s="2" t="s">
        <v>133</v>
      </c>
      <c r="BY3" s="2" t="s">
        <v>135</v>
      </c>
      <c r="BZ3" s="2" t="s">
        <v>137</v>
      </c>
      <c r="CA3" s="2" t="s">
        <v>139</v>
      </c>
      <c r="CB3" s="2" t="s">
        <v>141</v>
      </c>
      <c r="CC3" s="2" t="s">
        <v>158</v>
      </c>
      <c r="CD3" s="2" t="s">
        <v>161</v>
      </c>
      <c r="CE3" s="2" t="s">
        <v>163</v>
      </c>
      <c r="CF3" s="2" t="s">
        <v>165</v>
      </c>
      <c r="CG3" s="2" t="s">
        <v>167</v>
      </c>
      <c r="CH3" s="2" t="s">
        <v>169</v>
      </c>
    </row>
    <row r="4" spans="1:165" x14ac:dyDescent="0.2">
      <c r="A4" s="5"/>
      <c r="B4" s="5"/>
      <c r="C4" s="5"/>
      <c r="D4" s="5"/>
      <c r="E4" s="5"/>
      <c r="F4" s="5"/>
      <c r="G4" s="5"/>
      <c r="H4" s="10" t="s">
        <v>1439</v>
      </c>
      <c r="I4" s="2" t="s">
        <v>3</v>
      </c>
      <c r="J4" s="2" t="s">
        <v>3</v>
      </c>
      <c r="K4" s="2" t="s">
        <v>3</v>
      </c>
      <c r="L4" s="2" t="s">
        <v>3</v>
      </c>
      <c r="M4" s="2" t="s">
        <v>3</v>
      </c>
      <c r="N4" s="2" t="s">
        <v>3</v>
      </c>
      <c r="O4" s="2" t="s">
        <v>3</v>
      </c>
      <c r="P4" s="2" t="s">
        <v>3</v>
      </c>
      <c r="Q4" s="2" t="s">
        <v>3</v>
      </c>
      <c r="R4" s="2" t="s">
        <v>3</v>
      </c>
      <c r="S4" s="2" t="s">
        <v>3</v>
      </c>
      <c r="T4" s="2" t="s">
        <v>3</v>
      </c>
      <c r="U4" s="2" t="s">
        <v>3</v>
      </c>
      <c r="V4" s="2" t="s">
        <v>3</v>
      </c>
      <c r="W4" s="2" t="s">
        <v>3</v>
      </c>
      <c r="X4" s="2" t="s">
        <v>3</v>
      </c>
      <c r="Y4" s="2" t="s">
        <v>3</v>
      </c>
      <c r="Z4" s="2" t="s">
        <v>3</v>
      </c>
      <c r="AA4" s="2" t="s">
        <v>3</v>
      </c>
      <c r="AB4" s="2" t="s">
        <v>3</v>
      </c>
      <c r="AC4" s="2" t="s">
        <v>3</v>
      </c>
      <c r="AD4" s="2" t="s">
        <v>3</v>
      </c>
      <c r="AE4" s="2" t="s">
        <v>3</v>
      </c>
      <c r="AF4" s="2" t="s">
        <v>3</v>
      </c>
      <c r="AG4" s="2" t="s">
        <v>3</v>
      </c>
      <c r="AH4" s="2" t="s">
        <v>3</v>
      </c>
      <c r="AI4" s="2" t="s">
        <v>3</v>
      </c>
      <c r="AJ4" s="2" t="s">
        <v>3</v>
      </c>
      <c r="AK4" s="2" t="s">
        <v>3</v>
      </c>
      <c r="AL4" s="2" t="s">
        <v>3</v>
      </c>
      <c r="AM4" s="2" t="s">
        <v>3</v>
      </c>
      <c r="AN4" s="2" t="s">
        <v>3</v>
      </c>
      <c r="AO4" s="2" t="s">
        <v>3</v>
      </c>
      <c r="AP4" s="2" t="s">
        <v>3</v>
      </c>
      <c r="AQ4" s="2" t="s">
        <v>3</v>
      </c>
      <c r="AR4" s="2" t="s">
        <v>3</v>
      </c>
      <c r="AS4" s="2" t="s">
        <v>3</v>
      </c>
      <c r="AT4" s="2" t="s">
        <v>3</v>
      </c>
      <c r="AU4" s="2" t="s">
        <v>3</v>
      </c>
      <c r="AV4" s="2" t="s">
        <v>3</v>
      </c>
      <c r="AW4" s="2" t="s">
        <v>3</v>
      </c>
      <c r="AX4" s="2" t="s">
        <v>3</v>
      </c>
      <c r="AY4" s="2" t="s">
        <v>3</v>
      </c>
      <c r="AZ4" s="2" t="s">
        <v>3</v>
      </c>
      <c r="BA4" s="2" t="s">
        <v>3</v>
      </c>
      <c r="BB4" s="2" t="s">
        <v>3</v>
      </c>
      <c r="BC4" s="2" t="s">
        <v>3</v>
      </c>
      <c r="BD4" s="2" t="s">
        <v>3</v>
      </c>
      <c r="BE4" s="2" t="s">
        <v>3</v>
      </c>
      <c r="BF4" s="2" t="s">
        <v>3</v>
      </c>
      <c r="BG4" s="2" t="s">
        <v>3</v>
      </c>
      <c r="BH4" s="2" t="s">
        <v>3</v>
      </c>
      <c r="BI4" s="2" t="s">
        <v>3</v>
      </c>
      <c r="BJ4" s="2" t="s">
        <v>3</v>
      </c>
      <c r="BK4" s="2" t="s">
        <v>3</v>
      </c>
      <c r="BL4" s="2" t="s">
        <v>3</v>
      </c>
      <c r="BM4" s="2" t="s">
        <v>3</v>
      </c>
      <c r="BN4" s="2" t="s">
        <v>3</v>
      </c>
      <c r="BO4" s="2" t="s">
        <v>3</v>
      </c>
      <c r="BP4" s="2" t="s">
        <v>3</v>
      </c>
      <c r="BQ4" s="2" t="s">
        <v>3</v>
      </c>
      <c r="BR4" s="2" t="s">
        <v>3</v>
      </c>
      <c r="BS4" s="2" t="s">
        <v>3</v>
      </c>
      <c r="BT4" s="2" t="s">
        <v>3</v>
      </c>
      <c r="BU4" s="2" t="s">
        <v>3</v>
      </c>
      <c r="BV4" s="2" t="s">
        <v>3</v>
      </c>
      <c r="BW4" s="2" t="s">
        <v>3</v>
      </c>
      <c r="BX4" s="2" t="s">
        <v>3</v>
      </c>
      <c r="BY4" s="2" t="s">
        <v>3</v>
      </c>
      <c r="BZ4" s="2" t="s">
        <v>3</v>
      </c>
      <c r="CA4" s="2" t="s">
        <v>3</v>
      </c>
      <c r="CB4" s="2" t="s">
        <v>3</v>
      </c>
      <c r="CC4" s="2" t="s">
        <v>3</v>
      </c>
      <c r="CD4" s="2" t="s">
        <v>3</v>
      </c>
      <c r="CE4" s="2" t="s">
        <v>3</v>
      </c>
      <c r="CF4" s="2" t="s">
        <v>3</v>
      </c>
      <c r="CG4" s="2" t="s">
        <v>3</v>
      </c>
      <c r="CH4" s="2" t="s">
        <v>3</v>
      </c>
    </row>
    <row r="5" spans="1:165" x14ac:dyDescent="0.2">
      <c r="A5" s="5"/>
      <c r="B5" s="5"/>
      <c r="C5" s="5"/>
      <c r="D5" s="5"/>
      <c r="E5" s="5"/>
      <c r="F5" s="5"/>
      <c r="G5" s="5"/>
      <c r="H5" s="10" t="s">
        <v>1438</v>
      </c>
      <c r="I5" s="2" t="s">
        <v>4</v>
      </c>
      <c r="J5" s="2" t="s">
        <v>4</v>
      </c>
      <c r="K5" s="2" t="s">
        <v>4</v>
      </c>
      <c r="L5" s="2" t="s">
        <v>4</v>
      </c>
      <c r="M5" s="2" t="s">
        <v>4</v>
      </c>
      <c r="N5" s="2" t="s">
        <v>4</v>
      </c>
      <c r="O5" s="2" t="s">
        <v>4</v>
      </c>
      <c r="P5" s="2" t="s">
        <v>4</v>
      </c>
      <c r="Q5" s="2" t="s">
        <v>4</v>
      </c>
      <c r="R5" s="2" t="s">
        <v>4</v>
      </c>
      <c r="S5" s="2" t="s">
        <v>4</v>
      </c>
      <c r="T5" s="2" t="s">
        <v>4</v>
      </c>
      <c r="U5" s="2" t="s">
        <v>4</v>
      </c>
      <c r="V5" s="2" t="s">
        <v>4</v>
      </c>
      <c r="W5" s="2" t="s">
        <v>4</v>
      </c>
      <c r="X5" s="2" t="s">
        <v>4</v>
      </c>
      <c r="Y5" s="2" t="s">
        <v>4</v>
      </c>
      <c r="Z5" s="2" t="s">
        <v>4</v>
      </c>
      <c r="AA5" s="2" t="s">
        <v>4</v>
      </c>
      <c r="AB5" s="2" t="s">
        <v>4</v>
      </c>
      <c r="AC5" s="2" t="s">
        <v>4</v>
      </c>
      <c r="AD5" s="2" t="s">
        <v>4</v>
      </c>
      <c r="AE5" s="2" t="s">
        <v>4</v>
      </c>
      <c r="AF5" s="2" t="s">
        <v>4</v>
      </c>
      <c r="AG5" s="2" t="s">
        <v>4</v>
      </c>
      <c r="AH5" s="2" t="s">
        <v>4</v>
      </c>
      <c r="AI5" s="2" t="s">
        <v>4</v>
      </c>
      <c r="AJ5" s="2" t="s">
        <v>4</v>
      </c>
      <c r="AK5" s="2" t="s">
        <v>4</v>
      </c>
      <c r="AL5" s="2" t="s">
        <v>4</v>
      </c>
      <c r="AM5" s="2" t="s">
        <v>4</v>
      </c>
      <c r="AN5" s="2" t="s">
        <v>4</v>
      </c>
      <c r="AO5" s="2" t="s">
        <v>4</v>
      </c>
      <c r="AP5" s="2" t="s">
        <v>4</v>
      </c>
      <c r="AQ5" s="2" t="s">
        <v>4</v>
      </c>
      <c r="AR5" s="2" t="s">
        <v>4</v>
      </c>
      <c r="AS5" s="2" t="s">
        <v>4</v>
      </c>
      <c r="AT5" s="2" t="s">
        <v>4</v>
      </c>
      <c r="AU5" s="2" t="s">
        <v>4</v>
      </c>
      <c r="AV5" s="2" t="s">
        <v>4</v>
      </c>
      <c r="AW5" s="2" t="s">
        <v>4</v>
      </c>
      <c r="AX5" s="2" t="s">
        <v>4</v>
      </c>
      <c r="AY5" s="2" t="s">
        <v>4</v>
      </c>
      <c r="AZ5" s="2" t="s">
        <v>4</v>
      </c>
      <c r="BA5" s="2" t="s">
        <v>4</v>
      </c>
      <c r="BB5" s="2" t="s">
        <v>4</v>
      </c>
      <c r="BC5" s="2" t="s">
        <v>4</v>
      </c>
      <c r="BD5" s="2" t="s">
        <v>4</v>
      </c>
      <c r="BE5" s="2" t="s">
        <v>4</v>
      </c>
      <c r="BF5" s="2" t="s">
        <v>4</v>
      </c>
      <c r="BG5" s="2" t="s">
        <v>4</v>
      </c>
      <c r="BH5" s="2" t="s">
        <v>4</v>
      </c>
      <c r="BI5" s="2" t="s">
        <v>4</v>
      </c>
      <c r="BJ5" s="2" t="s">
        <v>4</v>
      </c>
      <c r="BK5" s="2" t="s">
        <v>4</v>
      </c>
      <c r="BL5" s="2" t="s">
        <v>4</v>
      </c>
      <c r="BM5" s="2" t="s">
        <v>4</v>
      </c>
      <c r="BN5" s="2" t="s">
        <v>4</v>
      </c>
      <c r="BO5" s="2" t="s">
        <v>4</v>
      </c>
      <c r="BP5" s="2" t="s">
        <v>4</v>
      </c>
      <c r="BQ5" s="2" t="s">
        <v>4</v>
      </c>
      <c r="BR5" s="2" t="s">
        <v>4</v>
      </c>
      <c r="BS5" s="2" t="s">
        <v>4</v>
      </c>
      <c r="BT5" s="2" t="s">
        <v>4</v>
      </c>
      <c r="BU5" s="2" t="s">
        <v>4</v>
      </c>
      <c r="BV5" s="2" t="s">
        <v>4</v>
      </c>
      <c r="BW5" s="2" t="s">
        <v>4</v>
      </c>
      <c r="BX5" s="2" t="s">
        <v>4</v>
      </c>
      <c r="BY5" s="2" t="s">
        <v>4</v>
      </c>
      <c r="BZ5" s="2" t="s">
        <v>4</v>
      </c>
      <c r="CA5" s="2" t="s">
        <v>4</v>
      </c>
      <c r="CB5" s="2" t="s">
        <v>4</v>
      </c>
      <c r="CC5" s="2" t="s">
        <v>4</v>
      </c>
      <c r="CD5" s="2" t="s">
        <v>4</v>
      </c>
      <c r="CE5" s="2" t="s">
        <v>4</v>
      </c>
      <c r="CF5" s="2" t="s">
        <v>4</v>
      </c>
      <c r="CG5" s="2" t="s">
        <v>4</v>
      </c>
      <c r="CH5" s="2" t="s">
        <v>4</v>
      </c>
    </row>
    <row r="6" spans="1:165" x14ac:dyDescent="0.2">
      <c r="A6" s="5"/>
      <c r="B6" s="5"/>
      <c r="C6" s="5"/>
      <c r="D6" s="5"/>
      <c r="E6" s="5"/>
      <c r="F6" s="5"/>
      <c r="G6" s="5"/>
      <c r="H6" s="10" t="s">
        <v>1441</v>
      </c>
      <c r="I6" s="2" t="s">
        <v>47</v>
      </c>
      <c r="J6" s="2" t="s">
        <v>47</v>
      </c>
      <c r="K6" s="2" t="s">
        <v>47</v>
      </c>
      <c r="L6" s="2" t="s">
        <v>47</v>
      </c>
      <c r="M6" s="2" t="s">
        <v>47</v>
      </c>
      <c r="N6" s="2" t="s">
        <v>47</v>
      </c>
      <c r="O6" s="2" t="s">
        <v>33</v>
      </c>
      <c r="P6" s="2" t="s">
        <v>33</v>
      </c>
      <c r="Q6" s="2" t="s">
        <v>33</v>
      </c>
      <c r="R6" s="2" t="s">
        <v>33</v>
      </c>
      <c r="S6" s="2" t="s">
        <v>33</v>
      </c>
      <c r="T6" s="2" t="s">
        <v>33</v>
      </c>
      <c r="U6" s="2" t="s">
        <v>117</v>
      </c>
      <c r="V6" s="2" t="s">
        <v>117</v>
      </c>
      <c r="W6" s="2" t="s">
        <v>117</v>
      </c>
      <c r="X6" s="2" t="s">
        <v>117</v>
      </c>
      <c r="Y6" s="2" t="s">
        <v>117</v>
      </c>
      <c r="Z6" s="2" t="s">
        <v>117</v>
      </c>
      <c r="AA6" s="2" t="s">
        <v>103</v>
      </c>
      <c r="AB6" s="2" t="s">
        <v>103</v>
      </c>
      <c r="AC6" s="2" t="s">
        <v>103</v>
      </c>
      <c r="AD6" s="2" t="s">
        <v>103</v>
      </c>
      <c r="AE6" s="2" t="s">
        <v>103</v>
      </c>
      <c r="AF6" s="2" t="s">
        <v>103</v>
      </c>
      <c r="AG6" s="2" t="s">
        <v>89</v>
      </c>
      <c r="AH6" s="2" t="s">
        <v>89</v>
      </c>
      <c r="AI6" s="2" t="s">
        <v>89</v>
      </c>
      <c r="AJ6" s="2" t="s">
        <v>89</v>
      </c>
      <c r="AK6" s="2" t="s">
        <v>89</v>
      </c>
      <c r="AL6" s="2" t="s">
        <v>89</v>
      </c>
      <c r="AM6" s="2" t="s">
        <v>61</v>
      </c>
      <c r="AN6" s="2" t="s">
        <v>61</v>
      </c>
      <c r="AO6" s="2" t="s">
        <v>61</v>
      </c>
      <c r="AP6" s="2" t="s">
        <v>61</v>
      </c>
      <c r="AQ6" s="2" t="s">
        <v>61</v>
      </c>
      <c r="AR6" s="2" t="s">
        <v>61</v>
      </c>
      <c r="AS6" s="2" t="s">
        <v>75</v>
      </c>
      <c r="AT6" s="2" t="s">
        <v>75</v>
      </c>
      <c r="AU6" s="2" t="s">
        <v>75</v>
      </c>
      <c r="AV6" s="2" t="s">
        <v>75</v>
      </c>
      <c r="AW6" s="2" t="s">
        <v>75</v>
      </c>
      <c r="AX6" s="2" t="s">
        <v>75</v>
      </c>
      <c r="AY6" s="2" t="s">
        <v>19</v>
      </c>
      <c r="AZ6" s="2" t="s">
        <v>19</v>
      </c>
      <c r="BA6" s="2" t="s">
        <v>19</v>
      </c>
      <c r="BB6" s="2" t="s">
        <v>19</v>
      </c>
      <c r="BC6" s="2" t="s">
        <v>19</v>
      </c>
      <c r="BD6" s="2" t="s">
        <v>19</v>
      </c>
      <c r="BE6" s="2" t="s">
        <v>5</v>
      </c>
      <c r="BF6" s="2" t="s">
        <v>5</v>
      </c>
      <c r="BG6" s="2" t="s">
        <v>5</v>
      </c>
      <c r="BH6" s="2" t="s">
        <v>5</v>
      </c>
      <c r="BI6" s="2" t="s">
        <v>5</v>
      </c>
      <c r="BJ6" s="2" t="s">
        <v>5</v>
      </c>
      <c r="BK6" s="2" t="s">
        <v>173</v>
      </c>
      <c r="BL6" s="2" t="s">
        <v>173</v>
      </c>
      <c r="BM6" s="2" t="s">
        <v>173</v>
      </c>
      <c r="BN6" s="2" t="s">
        <v>173</v>
      </c>
      <c r="BO6" s="2" t="s">
        <v>173</v>
      </c>
      <c r="BP6" s="2" t="s">
        <v>173</v>
      </c>
      <c r="BQ6" s="2" t="s">
        <v>145</v>
      </c>
      <c r="BR6" s="2" t="s">
        <v>145</v>
      </c>
      <c r="BS6" s="2" t="s">
        <v>145</v>
      </c>
      <c r="BT6" s="2" t="s">
        <v>145</v>
      </c>
      <c r="BU6" s="2" t="s">
        <v>145</v>
      </c>
      <c r="BV6" s="2" t="s">
        <v>145</v>
      </c>
      <c r="BW6" s="2" t="s">
        <v>131</v>
      </c>
      <c r="BX6" s="2" t="s">
        <v>131</v>
      </c>
      <c r="BY6" s="2" t="s">
        <v>131</v>
      </c>
      <c r="BZ6" s="2" t="s">
        <v>131</v>
      </c>
      <c r="CA6" s="2" t="s">
        <v>131</v>
      </c>
      <c r="CB6" s="2" t="s">
        <v>131</v>
      </c>
      <c r="CC6" s="2" t="s">
        <v>159</v>
      </c>
      <c r="CD6" s="2" t="s">
        <v>159</v>
      </c>
      <c r="CE6" s="2" t="s">
        <v>159</v>
      </c>
      <c r="CF6" s="2" t="s">
        <v>159</v>
      </c>
      <c r="CG6" s="2" t="s">
        <v>159</v>
      </c>
      <c r="CH6" s="2" t="s">
        <v>159</v>
      </c>
    </row>
    <row r="7" spans="1:165" x14ac:dyDescent="0.2">
      <c r="A7" s="5"/>
      <c r="B7" s="5"/>
      <c r="C7" s="5"/>
      <c r="D7" s="5"/>
      <c r="E7" s="5"/>
      <c r="F7" s="5"/>
      <c r="G7" s="5"/>
      <c r="H7" s="10" t="s">
        <v>1437</v>
      </c>
      <c r="I7" s="3" t="s">
        <v>244</v>
      </c>
      <c r="J7" s="3" t="s">
        <v>243</v>
      </c>
      <c r="K7" s="3" t="s">
        <v>242</v>
      </c>
      <c r="L7" s="3" t="s">
        <v>241</v>
      </c>
      <c r="M7" s="3" t="s">
        <v>240</v>
      </c>
      <c r="N7" s="3" t="s">
        <v>239</v>
      </c>
      <c r="O7" s="3" t="s">
        <v>250</v>
      </c>
      <c r="P7" s="3" t="s">
        <v>249</v>
      </c>
      <c r="Q7" s="3" t="s">
        <v>248</v>
      </c>
      <c r="R7" s="3" t="s">
        <v>247</v>
      </c>
      <c r="S7" s="3" t="s">
        <v>246</v>
      </c>
      <c r="T7" s="3" t="s">
        <v>245</v>
      </c>
      <c r="U7" s="3" t="s">
        <v>214</v>
      </c>
      <c r="V7" s="3" t="s">
        <v>213</v>
      </c>
      <c r="W7" s="3" t="s">
        <v>212</v>
      </c>
      <c r="X7" s="3" t="s">
        <v>211</v>
      </c>
      <c r="Y7" s="3" t="s">
        <v>210</v>
      </c>
      <c r="Z7" s="3" t="s">
        <v>209</v>
      </c>
      <c r="AA7" s="3" t="s">
        <v>220</v>
      </c>
      <c r="AB7" s="3" t="s">
        <v>219</v>
      </c>
      <c r="AC7" s="3" t="s">
        <v>218</v>
      </c>
      <c r="AD7" s="3" t="s">
        <v>217</v>
      </c>
      <c r="AE7" s="3" t="s">
        <v>216</v>
      </c>
      <c r="AF7" s="3" t="s">
        <v>215</v>
      </c>
      <c r="AG7" s="3" t="s">
        <v>226</v>
      </c>
      <c r="AH7" s="3" t="s">
        <v>225</v>
      </c>
      <c r="AI7" s="3" t="s">
        <v>224</v>
      </c>
      <c r="AJ7" s="3" t="s">
        <v>223</v>
      </c>
      <c r="AK7" s="3" t="s">
        <v>222</v>
      </c>
      <c r="AL7" s="3" t="s">
        <v>221</v>
      </c>
      <c r="AM7" s="3" t="s">
        <v>238</v>
      </c>
      <c r="AN7" s="3" t="s">
        <v>237</v>
      </c>
      <c r="AO7" s="3" t="s">
        <v>236</v>
      </c>
      <c r="AP7" s="3" t="s">
        <v>235</v>
      </c>
      <c r="AQ7" s="3" t="s">
        <v>234</v>
      </c>
      <c r="AR7" s="3" t="s">
        <v>233</v>
      </c>
      <c r="AS7" s="3" t="s">
        <v>232</v>
      </c>
      <c r="AT7" s="3" t="s">
        <v>231</v>
      </c>
      <c r="AU7" s="3" t="s">
        <v>230</v>
      </c>
      <c r="AV7" s="3" t="s">
        <v>229</v>
      </c>
      <c r="AW7" s="3" t="s">
        <v>228</v>
      </c>
      <c r="AX7" s="3" t="s">
        <v>227</v>
      </c>
      <c r="AY7" s="3" t="s">
        <v>256</v>
      </c>
      <c r="AZ7" s="3" t="s">
        <v>255</v>
      </c>
      <c r="BA7" s="3" t="s">
        <v>254</v>
      </c>
      <c r="BB7" s="3" t="s">
        <v>253</v>
      </c>
      <c r="BC7" s="3" t="s">
        <v>252</v>
      </c>
      <c r="BD7" s="3" t="s">
        <v>251</v>
      </c>
      <c r="BE7" s="3" t="s">
        <v>262</v>
      </c>
      <c r="BF7" s="3" t="s">
        <v>261</v>
      </c>
      <c r="BG7" s="3" t="s">
        <v>260</v>
      </c>
      <c r="BH7" s="3" t="s">
        <v>259</v>
      </c>
      <c r="BI7" s="3" t="s">
        <v>258</v>
      </c>
      <c r="BJ7" s="3" t="s">
        <v>257</v>
      </c>
      <c r="BK7" s="3" t="s">
        <v>190</v>
      </c>
      <c r="BL7" s="3" t="s">
        <v>189</v>
      </c>
      <c r="BM7" s="3" t="s">
        <v>188</v>
      </c>
      <c r="BN7" s="3" t="s">
        <v>187</v>
      </c>
      <c r="BO7" s="3" t="s">
        <v>186</v>
      </c>
      <c r="BP7" s="3" t="s">
        <v>185</v>
      </c>
      <c r="BQ7" s="3" t="s">
        <v>202</v>
      </c>
      <c r="BR7" s="3" t="s">
        <v>201</v>
      </c>
      <c r="BS7" s="3" t="s">
        <v>200</v>
      </c>
      <c r="BT7" s="3" t="s">
        <v>199</v>
      </c>
      <c r="BU7" s="3" t="s">
        <v>198</v>
      </c>
      <c r="BV7" s="3" t="s">
        <v>197</v>
      </c>
      <c r="BW7" s="3" t="s">
        <v>208</v>
      </c>
      <c r="BX7" s="3" t="s">
        <v>207</v>
      </c>
      <c r="BY7" s="3" t="s">
        <v>206</v>
      </c>
      <c r="BZ7" s="3" t="s">
        <v>205</v>
      </c>
      <c r="CA7" s="3" t="s">
        <v>204</v>
      </c>
      <c r="CB7" s="3" t="s">
        <v>203</v>
      </c>
      <c r="CC7" s="3" t="s">
        <v>196</v>
      </c>
      <c r="CD7" s="3" t="s">
        <v>195</v>
      </c>
      <c r="CE7" s="3" t="s">
        <v>194</v>
      </c>
      <c r="CF7" s="3" t="s">
        <v>193</v>
      </c>
      <c r="CG7" s="3" t="s">
        <v>192</v>
      </c>
      <c r="CH7" s="3" t="s">
        <v>191</v>
      </c>
    </row>
    <row r="8" spans="1:165" x14ac:dyDescent="0.2">
      <c r="A8" s="5"/>
      <c r="B8" s="5"/>
      <c r="C8" s="5"/>
      <c r="D8" s="5"/>
      <c r="E8" s="5"/>
      <c r="F8" s="5"/>
      <c r="G8" s="5"/>
      <c r="H8" s="10" t="s">
        <v>1442</v>
      </c>
      <c r="I8" s="3" t="s">
        <v>45</v>
      </c>
      <c r="J8" s="3" t="s">
        <v>48</v>
      </c>
      <c r="K8" s="3" t="s">
        <v>50</v>
      </c>
      <c r="L8" s="3" t="s">
        <v>52</v>
      </c>
      <c r="M8" s="3" t="s">
        <v>54</v>
      </c>
      <c r="N8" s="3" t="s">
        <v>56</v>
      </c>
      <c r="O8" s="3" t="s">
        <v>31</v>
      </c>
      <c r="P8" s="3" t="s">
        <v>34</v>
      </c>
      <c r="Q8" s="3" t="s">
        <v>36</v>
      </c>
      <c r="R8" s="3" t="s">
        <v>38</v>
      </c>
      <c r="S8" s="3" t="s">
        <v>40</v>
      </c>
      <c r="T8" s="3" t="s">
        <v>42</v>
      </c>
      <c r="U8" s="3" t="s">
        <v>115</v>
      </c>
      <c r="V8" s="3" t="s">
        <v>118</v>
      </c>
      <c r="W8" s="3" t="s">
        <v>120</v>
      </c>
      <c r="X8" s="3" t="s">
        <v>122</v>
      </c>
      <c r="Y8" s="3" t="s">
        <v>124</v>
      </c>
      <c r="Z8" s="3" t="s">
        <v>126</v>
      </c>
      <c r="AA8" s="3" t="s">
        <v>101</v>
      </c>
      <c r="AB8" s="3" t="s">
        <v>104</v>
      </c>
      <c r="AC8" s="3" t="s">
        <v>106</v>
      </c>
      <c r="AD8" s="3" t="s">
        <v>108</v>
      </c>
      <c r="AE8" s="3" t="s">
        <v>110</v>
      </c>
      <c r="AF8" s="3" t="s">
        <v>112</v>
      </c>
      <c r="AG8" s="3" t="s">
        <v>87</v>
      </c>
      <c r="AH8" s="3" t="s">
        <v>90</v>
      </c>
      <c r="AI8" s="3" t="s">
        <v>92</v>
      </c>
      <c r="AJ8" s="3" t="s">
        <v>94</v>
      </c>
      <c r="AK8" s="3" t="s">
        <v>96</v>
      </c>
      <c r="AL8" s="3" t="s">
        <v>98</v>
      </c>
      <c r="AM8" s="3" t="s">
        <v>59</v>
      </c>
      <c r="AN8" s="3" t="s">
        <v>62</v>
      </c>
      <c r="AO8" s="3" t="s">
        <v>64</v>
      </c>
      <c r="AP8" s="3" t="s">
        <v>66</v>
      </c>
      <c r="AQ8" s="3" t="s">
        <v>68</v>
      </c>
      <c r="AR8" s="3" t="s">
        <v>70</v>
      </c>
      <c r="AS8" s="3" t="s">
        <v>73</v>
      </c>
      <c r="AT8" s="3" t="s">
        <v>76</v>
      </c>
      <c r="AU8" s="3" t="s">
        <v>78</v>
      </c>
      <c r="AV8" s="3" t="s">
        <v>80</v>
      </c>
      <c r="AW8" s="3" t="s">
        <v>82</v>
      </c>
      <c r="AX8" s="3" t="s">
        <v>84</v>
      </c>
      <c r="AY8" s="3" t="s">
        <v>17</v>
      </c>
      <c r="AZ8" s="3" t="s">
        <v>20</v>
      </c>
      <c r="BA8" s="3" t="s">
        <v>22</v>
      </c>
      <c r="BB8" s="3" t="s">
        <v>24</v>
      </c>
      <c r="BC8" s="3" t="s">
        <v>26</v>
      </c>
      <c r="BD8" s="3" t="s">
        <v>28</v>
      </c>
      <c r="BE8" s="3" t="s">
        <v>1</v>
      </c>
      <c r="BF8" s="3" t="s">
        <v>6</v>
      </c>
      <c r="BG8" s="3" t="s">
        <v>8</v>
      </c>
      <c r="BH8" s="3" t="s">
        <v>10</v>
      </c>
      <c r="BI8" s="3" t="s">
        <v>12</v>
      </c>
      <c r="BJ8" s="3" t="s">
        <v>14</v>
      </c>
      <c r="BK8" s="3" t="s">
        <v>171</v>
      </c>
      <c r="BL8" s="3" t="s">
        <v>174</v>
      </c>
      <c r="BM8" s="3" t="s">
        <v>176</v>
      </c>
      <c r="BN8" s="3" t="s">
        <v>178</v>
      </c>
      <c r="BO8" s="3" t="s">
        <v>180</v>
      </c>
      <c r="BP8" s="3" t="s">
        <v>182</v>
      </c>
      <c r="BQ8" s="3" t="s">
        <v>143</v>
      </c>
      <c r="BR8" s="3" t="s">
        <v>146</v>
      </c>
      <c r="BS8" s="3" t="s">
        <v>148</v>
      </c>
      <c r="BT8" s="3" t="s">
        <v>150</v>
      </c>
      <c r="BU8" s="3" t="s">
        <v>152</v>
      </c>
      <c r="BV8" s="3" t="s">
        <v>154</v>
      </c>
      <c r="BW8" s="3" t="s">
        <v>129</v>
      </c>
      <c r="BX8" s="3" t="s">
        <v>132</v>
      </c>
      <c r="BY8" s="3" t="s">
        <v>134</v>
      </c>
      <c r="BZ8" s="3" t="s">
        <v>136</v>
      </c>
      <c r="CA8" s="3" t="s">
        <v>138</v>
      </c>
      <c r="CB8" s="3" t="s">
        <v>140</v>
      </c>
      <c r="CC8" s="3" t="s">
        <v>157</v>
      </c>
      <c r="CD8" s="3" t="s">
        <v>160</v>
      </c>
      <c r="CE8" s="3" t="s">
        <v>162</v>
      </c>
      <c r="CF8" s="3" t="s">
        <v>164</v>
      </c>
      <c r="CG8" s="3" t="s">
        <v>166</v>
      </c>
      <c r="CH8" s="3" t="s">
        <v>168</v>
      </c>
    </row>
    <row r="9" spans="1:165" x14ac:dyDescent="0.2">
      <c r="A9" s="6" t="s">
        <v>1428</v>
      </c>
      <c r="B9" s="6" t="s">
        <v>1429</v>
      </c>
      <c r="C9" s="6" t="s">
        <v>1430</v>
      </c>
      <c r="D9" s="6" t="s">
        <v>1431</v>
      </c>
      <c r="E9" s="6" t="s">
        <v>1432</v>
      </c>
      <c r="F9" s="6" t="s">
        <v>1433</v>
      </c>
      <c r="G9" s="6" t="s">
        <v>1434</v>
      </c>
      <c r="H9" s="6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</row>
    <row r="10" spans="1:165" x14ac:dyDescent="0.2">
      <c r="A10" s="1" t="s">
        <v>263</v>
      </c>
      <c r="B10" s="1" t="s">
        <v>264</v>
      </c>
      <c r="C10" s="1" t="s">
        <v>265</v>
      </c>
      <c r="D10" s="1" t="str">
        <f>HYPERLINK("http://eros.fiehnlab.ucdavis.edu:8080/binbase-compound/bin/show/239666?db=rtx5","239666")</f>
        <v>239666</v>
      </c>
      <c r="E10" s="1" t="s">
        <v>266</v>
      </c>
      <c r="F10" s="1" t="str">
        <f>HYPERLINK("http://www.genome.ad.jp/dbget-bin/www_bget?compound+C05437","C05437")</f>
        <v>C05437</v>
      </c>
      <c r="G10" s="1" t="str">
        <f>HYPERLINK("http://pubchem.ncbi.nlm.nih.gov/summary/summary.cgi?cid=92746","92746")</f>
        <v>92746</v>
      </c>
      <c r="H10" s="1"/>
      <c r="I10" s="8">
        <v>395</v>
      </c>
      <c r="J10" s="8">
        <v>322</v>
      </c>
      <c r="K10" s="8">
        <v>364</v>
      </c>
      <c r="L10" s="8">
        <v>251</v>
      </c>
      <c r="M10" s="8">
        <v>380</v>
      </c>
      <c r="N10" s="8">
        <v>444</v>
      </c>
      <c r="O10" s="8">
        <v>274</v>
      </c>
      <c r="P10" s="8">
        <v>464</v>
      </c>
      <c r="Q10" s="8">
        <v>659</v>
      </c>
      <c r="R10" s="8">
        <v>293</v>
      </c>
      <c r="S10" s="8">
        <v>627</v>
      </c>
      <c r="T10" s="8">
        <v>626</v>
      </c>
      <c r="U10" s="8">
        <v>679</v>
      </c>
      <c r="V10" s="8">
        <v>461</v>
      </c>
      <c r="W10" s="8">
        <v>241</v>
      </c>
      <c r="X10" s="8">
        <v>260</v>
      </c>
      <c r="Y10" s="8">
        <v>231</v>
      </c>
      <c r="Z10" s="8">
        <v>328</v>
      </c>
      <c r="AA10" s="8">
        <v>174</v>
      </c>
      <c r="AB10" s="8">
        <v>289</v>
      </c>
      <c r="AC10" s="8">
        <v>324</v>
      </c>
      <c r="AD10" s="8">
        <v>284</v>
      </c>
      <c r="AE10" s="8">
        <v>430</v>
      </c>
      <c r="AF10" s="8">
        <v>334</v>
      </c>
      <c r="AG10" s="8">
        <v>521</v>
      </c>
      <c r="AH10" s="8">
        <v>404</v>
      </c>
      <c r="AI10" s="8">
        <v>141</v>
      </c>
      <c r="AJ10" s="8">
        <v>346</v>
      </c>
      <c r="AK10" s="8">
        <v>453</v>
      </c>
      <c r="AL10" s="8">
        <v>313</v>
      </c>
      <c r="AM10" s="8">
        <v>459</v>
      </c>
      <c r="AN10" s="8">
        <v>430</v>
      </c>
      <c r="AO10" s="8">
        <v>734</v>
      </c>
      <c r="AP10" s="8">
        <v>410</v>
      </c>
      <c r="AQ10" s="8">
        <v>286</v>
      </c>
      <c r="AR10" s="8">
        <v>257</v>
      </c>
      <c r="AS10" s="8">
        <v>421</v>
      </c>
      <c r="AT10" s="8">
        <v>286</v>
      </c>
      <c r="AU10" s="8">
        <v>418</v>
      </c>
      <c r="AV10" s="8">
        <v>298</v>
      </c>
      <c r="AW10" s="8">
        <v>256</v>
      </c>
      <c r="AX10" s="8">
        <v>317</v>
      </c>
      <c r="AY10" s="8">
        <v>357</v>
      </c>
      <c r="AZ10" s="8">
        <v>506</v>
      </c>
      <c r="BA10" s="8">
        <v>276</v>
      </c>
      <c r="BB10" s="8">
        <v>303</v>
      </c>
      <c r="BC10" s="8">
        <v>520</v>
      </c>
      <c r="BD10" s="8">
        <v>376</v>
      </c>
      <c r="BE10" s="8">
        <v>242</v>
      </c>
      <c r="BF10" s="8">
        <v>265</v>
      </c>
      <c r="BG10" s="8">
        <v>284</v>
      </c>
      <c r="BH10" s="8">
        <v>339</v>
      </c>
      <c r="BI10" s="8">
        <v>517</v>
      </c>
      <c r="BJ10" s="8">
        <v>268</v>
      </c>
      <c r="BK10" s="8">
        <v>449</v>
      </c>
      <c r="BL10" s="8">
        <v>447</v>
      </c>
      <c r="BM10" s="8">
        <v>374</v>
      </c>
      <c r="BN10" s="8">
        <v>292</v>
      </c>
      <c r="BO10" s="8">
        <v>418</v>
      </c>
      <c r="BP10" s="8">
        <v>271</v>
      </c>
      <c r="BQ10" s="8">
        <v>380</v>
      </c>
      <c r="BR10" s="8">
        <v>373</v>
      </c>
      <c r="BS10" s="8">
        <v>321</v>
      </c>
      <c r="BT10" s="8">
        <v>326</v>
      </c>
      <c r="BU10" s="8">
        <v>226</v>
      </c>
      <c r="BV10" s="8">
        <v>340</v>
      </c>
      <c r="BW10" s="8">
        <v>360</v>
      </c>
      <c r="BX10" s="8">
        <v>543</v>
      </c>
      <c r="BY10" s="8">
        <v>517</v>
      </c>
      <c r="BZ10" s="8">
        <v>278</v>
      </c>
      <c r="CA10" s="8">
        <v>330</v>
      </c>
      <c r="CB10" s="8">
        <v>280</v>
      </c>
      <c r="CC10" s="8">
        <v>324</v>
      </c>
      <c r="CD10" s="8">
        <v>257</v>
      </c>
      <c r="CE10" s="8">
        <v>769</v>
      </c>
      <c r="CF10" s="8">
        <v>382</v>
      </c>
      <c r="CG10" s="8">
        <v>279</v>
      </c>
      <c r="CH10" s="8">
        <v>358</v>
      </c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</row>
    <row r="11" spans="1:165" x14ac:dyDescent="0.2">
      <c r="A11" s="1" t="s">
        <v>269</v>
      </c>
      <c r="B11" s="1" t="s">
        <v>270</v>
      </c>
      <c r="C11" s="1" t="s">
        <v>271</v>
      </c>
      <c r="D11" s="1" t="str">
        <f>HYPERLINK("http://eros.fiehnlab.ucdavis.edu:8080/binbase-compound/bin/show/199605?db=rtx5","199605")</f>
        <v>199605</v>
      </c>
      <c r="E11" s="1" t="s">
        <v>272</v>
      </c>
      <c r="F11" s="1" t="str">
        <f>HYPERLINK("http://www.genome.ad.jp/dbget-bin/www_bget?compound+C00183","C00183")</f>
        <v>C00183</v>
      </c>
      <c r="G11" s="1" t="str">
        <f>HYPERLINK("http://pubchem.ncbi.nlm.nih.gov/summary/summary.cgi?cid=6287","6287")</f>
        <v>6287</v>
      </c>
      <c r="H11" s="1"/>
      <c r="I11" s="8">
        <v>32803</v>
      </c>
      <c r="J11" s="8">
        <v>33792</v>
      </c>
      <c r="K11" s="8">
        <v>27728</v>
      </c>
      <c r="L11" s="8">
        <v>32872</v>
      </c>
      <c r="M11" s="8">
        <v>33101</v>
      </c>
      <c r="N11" s="8">
        <v>33258</v>
      </c>
      <c r="O11" s="8">
        <v>39806</v>
      </c>
      <c r="P11" s="8">
        <v>37547</v>
      </c>
      <c r="Q11" s="8">
        <v>39073</v>
      </c>
      <c r="R11" s="8">
        <v>35757</v>
      </c>
      <c r="S11" s="8">
        <v>35713</v>
      </c>
      <c r="T11" s="8">
        <v>36499</v>
      </c>
      <c r="U11" s="8">
        <v>35813</v>
      </c>
      <c r="V11" s="8">
        <v>38401</v>
      </c>
      <c r="W11" s="8">
        <v>32079</v>
      </c>
      <c r="X11" s="8">
        <v>525</v>
      </c>
      <c r="Y11" s="8">
        <v>37911</v>
      </c>
      <c r="Z11" s="8">
        <v>33004</v>
      </c>
      <c r="AA11" s="8">
        <v>38357</v>
      </c>
      <c r="AB11" s="8">
        <v>33586</v>
      </c>
      <c r="AC11" s="8">
        <v>31363</v>
      </c>
      <c r="AD11" s="8">
        <v>33742</v>
      </c>
      <c r="AE11" s="8">
        <v>31850</v>
      </c>
      <c r="AF11" s="8">
        <v>35509</v>
      </c>
      <c r="AG11" s="8">
        <v>32072</v>
      </c>
      <c r="AH11" s="8">
        <v>29187</v>
      </c>
      <c r="AI11" s="8">
        <v>33869</v>
      </c>
      <c r="AJ11" s="8">
        <v>39535</v>
      </c>
      <c r="AK11" s="8">
        <v>31883</v>
      </c>
      <c r="AL11" s="8">
        <v>35045</v>
      </c>
      <c r="AM11" s="8">
        <v>44046</v>
      </c>
      <c r="AN11" s="8">
        <v>43572</v>
      </c>
      <c r="AO11" s="8">
        <v>40531</v>
      </c>
      <c r="AP11" s="8">
        <v>41686</v>
      </c>
      <c r="AQ11" s="8">
        <v>45484</v>
      </c>
      <c r="AR11" s="8">
        <v>43814</v>
      </c>
      <c r="AS11" s="8">
        <v>41766</v>
      </c>
      <c r="AT11" s="8">
        <v>44270</v>
      </c>
      <c r="AU11" s="8">
        <v>45647</v>
      </c>
      <c r="AV11" s="8">
        <v>45542</v>
      </c>
      <c r="AW11" s="8">
        <v>42515</v>
      </c>
      <c r="AX11" s="8">
        <v>41504</v>
      </c>
      <c r="AY11" s="8">
        <v>33267</v>
      </c>
      <c r="AZ11" s="8">
        <v>41322</v>
      </c>
      <c r="BA11" s="8">
        <v>38798</v>
      </c>
      <c r="BB11" s="8">
        <v>36308</v>
      </c>
      <c r="BC11" s="8">
        <v>38272</v>
      </c>
      <c r="BD11" s="8">
        <v>34080</v>
      </c>
      <c r="BE11" s="8">
        <v>33443</v>
      </c>
      <c r="BF11" s="8">
        <v>31370</v>
      </c>
      <c r="BG11" s="8">
        <v>36737</v>
      </c>
      <c r="BH11" s="8">
        <v>38767</v>
      </c>
      <c r="BI11" s="8">
        <v>33898</v>
      </c>
      <c r="BJ11" s="8">
        <v>32751</v>
      </c>
      <c r="BK11" s="8">
        <v>40019</v>
      </c>
      <c r="BL11" s="8">
        <v>39048</v>
      </c>
      <c r="BM11" s="8">
        <v>39883</v>
      </c>
      <c r="BN11" s="8">
        <v>48588</v>
      </c>
      <c r="BO11" s="8">
        <v>42688</v>
      </c>
      <c r="BP11" s="8">
        <v>38769</v>
      </c>
      <c r="BQ11" s="8">
        <v>44937</v>
      </c>
      <c r="BR11" s="8">
        <v>44289</v>
      </c>
      <c r="BS11" s="8">
        <v>41679</v>
      </c>
      <c r="BT11" s="8">
        <v>43087</v>
      </c>
      <c r="BU11" s="8">
        <v>42935</v>
      </c>
      <c r="BV11" s="8">
        <v>41589</v>
      </c>
      <c r="BW11" s="8">
        <v>35733</v>
      </c>
      <c r="BX11" s="8">
        <v>34421</v>
      </c>
      <c r="BY11" s="8">
        <v>33479</v>
      </c>
      <c r="BZ11" s="8">
        <v>34420</v>
      </c>
      <c r="CA11" s="8">
        <v>34156</v>
      </c>
      <c r="CB11" s="8">
        <v>36108</v>
      </c>
      <c r="CC11" s="8">
        <v>33687</v>
      </c>
      <c r="CD11" s="8">
        <v>33902</v>
      </c>
      <c r="CE11" s="8">
        <v>30665</v>
      </c>
      <c r="CF11" s="8">
        <v>33862</v>
      </c>
      <c r="CG11" s="8">
        <v>33950</v>
      </c>
      <c r="CH11" s="8">
        <v>33785</v>
      </c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</row>
    <row r="12" spans="1:165" x14ac:dyDescent="0.2">
      <c r="A12" s="1" t="s">
        <v>274</v>
      </c>
      <c r="B12" s="1" t="s">
        <v>275</v>
      </c>
      <c r="C12" s="1" t="s">
        <v>276</v>
      </c>
      <c r="D12" s="1" t="str">
        <f>HYPERLINK("http://eros.fiehnlab.ucdavis.edu:8080/binbase-compound/bin/show/296074?db=rtx5","296074")</f>
        <v>296074</v>
      </c>
      <c r="E12" s="1" t="s">
        <v>277</v>
      </c>
      <c r="F12" s="1" t="str">
        <f>HYPERLINK("http://www.genome.ad.jp/dbget-bin/www_bget?compound+C00086","C00086")</f>
        <v>C00086</v>
      </c>
      <c r="G12" s="1" t="str">
        <f>HYPERLINK("http://pubchem.ncbi.nlm.nih.gov/summary/summary.cgi?cid=1176","1176")</f>
        <v>1176</v>
      </c>
      <c r="H12" s="1"/>
      <c r="I12" s="8">
        <v>209</v>
      </c>
      <c r="J12" s="8">
        <v>208</v>
      </c>
      <c r="K12" s="8">
        <v>3826</v>
      </c>
      <c r="L12" s="8">
        <v>166</v>
      </c>
      <c r="M12" s="8">
        <v>215</v>
      </c>
      <c r="N12" s="8">
        <v>5179</v>
      </c>
      <c r="O12" s="8">
        <v>7231</v>
      </c>
      <c r="P12" s="8">
        <v>7610</v>
      </c>
      <c r="Q12" s="8">
        <v>6646</v>
      </c>
      <c r="R12" s="8">
        <v>6698</v>
      </c>
      <c r="S12" s="8">
        <v>6142</v>
      </c>
      <c r="T12" s="8">
        <v>131</v>
      </c>
      <c r="U12" s="8">
        <v>5708</v>
      </c>
      <c r="V12" s="8">
        <v>157</v>
      </c>
      <c r="W12" s="8">
        <v>6290</v>
      </c>
      <c r="X12" s="8">
        <v>6697</v>
      </c>
      <c r="Y12" s="8">
        <v>167</v>
      </c>
      <c r="Z12" s="8">
        <v>192</v>
      </c>
      <c r="AA12" s="8">
        <v>194</v>
      </c>
      <c r="AB12" s="8">
        <v>146</v>
      </c>
      <c r="AC12" s="8">
        <v>185</v>
      </c>
      <c r="AD12" s="8">
        <v>7830</v>
      </c>
      <c r="AE12" s="8">
        <v>172</v>
      </c>
      <c r="AF12" s="8">
        <v>10700</v>
      </c>
      <c r="AG12" s="8">
        <v>128</v>
      </c>
      <c r="AH12" s="8">
        <v>137</v>
      </c>
      <c r="AI12" s="8">
        <v>139</v>
      </c>
      <c r="AJ12" s="8">
        <v>190</v>
      </c>
      <c r="AK12" s="8">
        <v>5698</v>
      </c>
      <c r="AL12" s="8">
        <v>6289</v>
      </c>
      <c r="AM12" s="8">
        <v>7246</v>
      </c>
      <c r="AN12" s="8">
        <v>8024</v>
      </c>
      <c r="AO12" s="8">
        <v>6606</v>
      </c>
      <c r="AP12" s="8">
        <v>8223</v>
      </c>
      <c r="AQ12" s="8">
        <v>8034</v>
      </c>
      <c r="AR12" s="8">
        <v>9165</v>
      </c>
      <c r="AS12" s="8">
        <v>6206</v>
      </c>
      <c r="AT12" s="8">
        <v>5921</v>
      </c>
      <c r="AU12" s="8">
        <v>6289</v>
      </c>
      <c r="AV12" s="8">
        <v>6244</v>
      </c>
      <c r="AW12" s="8">
        <v>196</v>
      </c>
      <c r="AX12" s="8">
        <v>193</v>
      </c>
      <c r="AY12" s="8">
        <v>212</v>
      </c>
      <c r="AZ12" s="8">
        <v>207</v>
      </c>
      <c r="BA12" s="8">
        <v>184</v>
      </c>
      <c r="BB12" s="8">
        <v>182</v>
      </c>
      <c r="BC12" s="8">
        <v>201</v>
      </c>
      <c r="BD12" s="8">
        <v>153</v>
      </c>
      <c r="BE12" s="8">
        <v>6224</v>
      </c>
      <c r="BF12" s="8">
        <v>6206</v>
      </c>
      <c r="BG12" s="8">
        <v>6647</v>
      </c>
      <c r="BH12" s="8">
        <v>7706</v>
      </c>
      <c r="BI12" s="8">
        <v>6556</v>
      </c>
      <c r="BJ12" s="8">
        <v>164</v>
      </c>
      <c r="BK12" s="8">
        <v>7709</v>
      </c>
      <c r="BL12" s="8">
        <v>162</v>
      </c>
      <c r="BM12" s="8">
        <v>5844</v>
      </c>
      <c r="BN12" s="8">
        <v>10321</v>
      </c>
      <c r="BO12" s="8">
        <v>185</v>
      </c>
      <c r="BP12" s="8">
        <v>175</v>
      </c>
      <c r="BQ12" s="8">
        <v>228</v>
      </c>
      <c r="BR12" s="8">
        <v>7378</v>
      </c>
      <c r="BS12" s="8">
        <v>6656</v>
      </c>
      <c r="BT12" s="8">
        <v>125</v>
      </c>
      <c r="BU12" s="8">
        <v>6575</v>
      </c>
      <c r="BV12" s="8">
        <v>137</v>
      </c>
      <c r="BW12" s="8">
        <v>192</v>
      </c>
      <c r="BX12" s="8">
        <v>194</v>
      </c>
      <c r="BY12" s="8">
        <v>127</v>
      </c>
      <c r="BZ12" s="8">
        <v>207</v>
      </c>
      <c r="CA12" s="8">
        <v>153</v>
      </c>
      <c r="CB12" s="8">
        <v>131</v>
      </c>
      <c r="CC12" s="8">
        <v>7122</v>
      </c>
      <c r="CD12" s="8">
        <v>29451</v>
      </c>
      <c r="CE12" s="8">
        <v>5945</v>
      </c>
      <c r="CF12" s="8">
        <v>5907</v>
      </c>
      <c r="CG12" s="8">
        <v>149</v>
      </c>
      <c r="CH12" s="8">
        <v>206</v>
      </c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</row>
    <row r="13" spans="1:165" x14ac:dyDescent="0.2">
      <c r="A13" s="1" t="s">
        <v>278</v>
      </c>
      <c r="B13" s="1" t="s">
        <v>279</v>
      </c>
      <c r="C13" s="1" t="s">
        <v>280</v>
      </c>
      <c r="D13" s="1" t="str">
        <f>HYPERLINK("http://eros.fiehnlab.ucdavis.edu:8080/binbase-compound/bin/show/199600?db=rtx5","199600")</f>
        <v>199600</v>
      </c>
      <c r="E13" s="1" t="s">
        <v>281</v>
      </c>
      <c r="F13" s="1" t="str">
        <f>HYPERLINK("http://www.genome.ad.jp/dbget-bin/www_bget?compound+C00106","C00106")</f>
        <v>C00106</v>
      </c>
      <c r="G13" s="1" t="str">
        <f>HYPERLINK("http://pubchem.ncbi.nlm.nih.gov/summary/summary.cgi?cid=1174","1174")</f>
        <v>1174</v>
      </c>
      <c r="H13" s="1"/>
      <c r="I13" s="8">
        <v>704</v>
      </c>
      <c r="J13" s="8">
        <v>1803</v>
      </c>
      <c r="K13" s="8">
        <v>1984</v>
      </c>
      <c r="L13" s="8">
        <v>1101</v>
      </c>
      <c r="M13" s="8">
        <v>7991</v>
      </c>
      <c r="N13" s="8">
        <v>16822</v>
      </c>
      <c r="O13" s="8">
        <v>598</v>
      </c>
      <c r="P13" s="8">
        <v>1205</v>
      </c>
      <c r="Q13" s="8">
        <v>1262</v>
      </c>
      <c r="R13" s="8">
        <v>2068</v>
      </c>
      <c r="S13" s="8">
        <v>2282</v>
      </c>
      <c r="T13" s="8">
        <v>3262</v>
      </c>
      <c r="U13" s="8">
        <v>706</v>
      </c>
      <c r="V13" s="8">
        <v>711</v>
      </c>
      <c r="W13" s="8">
        <v>1384</v>
      </c>
      <c r="X13" s="8">
        <v>1879</v>
      </c>
      <c r="Y13" s="8">
        <v>1178</v>
      </c>
      <c r="Z13" s="8">
        <v>2415</v>
      </c>
      <c r="AA13" s="8">
        <v>429</v>
      </c>
      <c r="AB13" s="8">
        <v>938</v>
      </c>
      <c r="AC13" s="8">
        <v>1019</v>
      </c>
      <c r="AD13" s="8">
        <v>741</v>
      </c>
      <c r="AE13" s="8">
        <v>1867</v>
      </c>
      <c r="AF13" s="8">
        <v>1124</v>
      </c>
      <c r="AG13" s="8">
        <v>570</v>
      </c>
      <c r="AH13" s="8">
        <v>721</v>
      </c>
      <c r="AI13" s="8">
        <v>996</v>
      </c>
      <c r="AJ13" s="8">
        <v>1657</v>
      </c>
      <c r="AK13" s="8">
        <v>1596</v>
      </c>
      <c r="AL13" s="8">
        <v>3598</v>
      </c>
      <c r="AM13" s="8">
        <v>1151</v>
      </c>
      <c r="AN13" s="8">
        <v>738</v>
      </c>
      <c r="AO13" s="8">
        <v>832</v>
      </c>
      <c r="AP13" s="8">
        <v>1874</v>
      </c>
      <c r="AQ13" s="8">
        <v>1586</v>
      </c>
      <c r="AR13" s="8">
        <v>1763</v>
      </c>
      <c r="AS13" s="8">
        <v>668</v>
      </c>
      <c r="AT13" s="8">
        <v>740</v>
      </c>
      <c r="AU13" s="8">
        <v>888</v>
      </c>
      <c r="AV13" s="8">
        <v>908</v>
      </c>
      <c r="AW13" s="8">
        <v>2110</v>
      </c>
      <c r="AX13" s="8">
        <v>1226</v>
      </c>
      <c r="AY13" s="8">
        <v>965</v>
      </c>
      <c r="AZ13" s="8">
        <v>1193</v>
      </c>
      <c r="BA13" s="8">
        <v>1661</v>
      </c>
      <c r="BB13" s="8">
        <v>1592</v>
      </c>
      <c r="BC13" s="8">
        <v>1369</v>
      </c>
      <c r="BD13" s="8">
        <v>2459</v>
      </c>
      <c r="BE13" s="8">
        <v>630</v>
      </c>
      <c r="BF13" s="8">
        <v>640</v>
      </c>
      <c r="BG13" s="8">
        <v>1384</v>
      </c>
      <c r="BH13" s="8">
        <v>876</v>
      </c>
      <c r="BI13" s="8">
        <v>1530</v>
      </c>
      <c r="BJ13" s="8">
        <v>2135</v>
      </c>
      <c r="BK13" s="8">
        <v>710</v>
      </c>
      <c r="BL13" s="8">
        <v>679</v>
      </c>
      <c r="BM13" s="8">
        <v>1056</v>
      </c>
      <c r="BN13" s="8">
        <v>1360</v>
      </c>
      <c r="BO13" s="8">
        <v>1535</v>
      </c>
      <c r="BP13" s="8">
        <v>1706</v>
      </c>
      <c r="BQ13" s="8">
        <v>638</v>
      </c>
      <c r="BR13" s="8">
        <v>483</v>
      </c>
      <c r="BS13" s="8">
        <v>841</v>
      </c>
      <c r="BT13" s="8">
        <v>1818</v>
      </c>
      <c r="BU13" s="8">
        <v>1399</v>
      </c>
      <c r="BV13" s="8">
        <v>2705</v>
      </c>
      <c r="BW13" s="8">
        <v>698</v>
      </c>
      <c r="BX13" s="8">
        <v>727</v>
      </c>
      <c r="BY13" s="8">
        <v>746</v>
      </c>
      <c r="BZ13" s="8">
        <v>1699</v>
      </c>
      <c r="CA13" s="8">
        <v>1924</v>
      </c>
      <c r="CB13" s="8">
        <v>2970</v>
      </c>
      <c r="CC13" s="8">
        <v>614</v>
      </c>
      <c r="CD13" s="8">
        <v>824</v>
      </c>
      <c r="CE13" s="8">
        <v>574</v>
      </c>
      <c r="CF13" s="8">
        <v>596</v>
      </c>
      <c r="CG13" s="8">
        <v>1423</v>
      </c>
      <c r="CH13" s="8">
        <v>959</v>
      </c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</row>
    <row r="14" spans="1:165" x14ac:dyDescent="0.2">
      <c r="A14" s="1" t="s">
        <v>282</v>
      </c>
      <c r="B14" s="1" t="s">
        <v>283</v>
      </c>
      <c r="C14" s="1" t="s">
        <v>284</v>
      </c>
      <c r="D14" s="1" t="str">
        <f>HYPERLINK("http://eros.fiehnlab.ucdavis.edu:8080/binbase-compound/bin/show/227600?db=rtx5","227600")</f>
        <v>227600</v>
      </c>
      <c r="E14" s="1" t="s">
        <v>285</v>
      </c>
      <c r="F14" s="1" t="str">
        <f>HYPERLINK("http://www.genome.ad.jp/dbget-bin/www_bget?compound+C00043","C00043")</f>
        <v>C00043</v>
      </c>
      <c r="G14" s="1" t="str">
        <f>HYPERLINK("http://pubchem.ncbi.nlm.nih.gov/summary/summary.cgi?cid=445675","445675")</f>
        <v>445675</v>
      </c>
      <c r="H14" s="1"/>
      <c r="I14" s="8">
        <v>10302</v>
      </c>
      <c r="J14" s="8">
        <v>11237</v>
      </c>
      <c r="K14" s="8">
        <v>10856</v>
      </c>
      <c r="L14" s="8">
        <v>11249</v>
      </c>
      <c r="M14" s="8">
        <v>13517</v>
      </c>
      <c r="N14" s="8">
        <v>13120</v>
      </c>
      <c r="O14" s="8">
        <v>571</v>
      </c>
      <c r="P14" s="8">
        <v>733</v>
      </c>
      <c r="Q14" s="8">
        <v>602</v>
      </c>
      <c r="R14" s="8">
        <v>881</v>
      </c>
      <c r="S14" s="8">
        <v>875</v>
      </c>
      <c r="T14" s="8">
        <v>651</v>
      </c>
      <c r="U14" s="8">
        <v>459</v>
      </c>
      <c r="V14" s="8">
        <v>658</v>
      </c>
      <c r="W14" s="8">
        <v>974</v>
      </c>
      <c r="X14" s="8">
        <v>792</v>
      </c>
      <c r="Y14" s="8">
        <v>643</v>
      </c>
      <c r="Z14" s="8">
        <v>610</v>
      </c>
      <c r="AA14" s="8">
        <v>506</v>
      </c>
      <c r="AB14" s="8">
        <v>1202</v>
      </c>
      <c r="AC14" s="8">
        <v>1199</v>
      </c>
      <c r="AD14" s="8">
        <v>1291</v>
      </c>
      <c r="AE14" s="8">
        <v>1347</v>
      </c>
      <c r="AF14" s="8">
        <v>1062</v>
      </c>
      <c r="AG14" s="8">
        <v>648</v>
      </c>
      <c r="AH14" s="8">
        <v>876</v>
      </c>
      <c r="AI14" s="8">
        <v>958</v>
      </c>
      <c r="AJ14" s="8">
        <v>1312</v>
      </c>
      <c r="AK14" s="8">
        <v>890</v>
      </c>
      <c r="AL14" s="8">
        <v>983</v>
      </c>
      <c r="AM14" s="8">
        <v>710</v>
      </c>
      <c r="AN14" s="8">
        <v>898</v>
      </c>
      <c r="AO14" s="8">
        <v>537</v>
      </c>
      <c r="AP14" s="8">
        <v>840</v>
      </c>
      <c r="AQ14" s="8">
        <v>904</v>
      </c>
      <c r="AR14" s="8">
        <v>534</v>
      </c>
      <c r="AS14" s="8">
        <v>821</v>
      </c>
      <c r="AT14" s="8">
        <v>632</v>
      </c>
      <c r="AU14" s="8">
        <v>680</v>
      </c>
      <c r="AV14" s="8">
        <v>470</v>
      </c>
      <c r="AW14" s="8">
        <v>776</v>
      </c>
      <c r="AX14" s="8">
        <v>566</v>
      </c>
      <c r="AY14" s="8">
        <v>376</v>
      </c>
      <c r="AZ14" s="8">
        <v>403</v>
      </c>
      <c r="BA14" s="8">
        <v>606</v>
      </c>
      <c r="BB14" s="8">
        <v>583</v>
      </c>
      <c r="BC14" s="8">
        <v>415</v>
      </c>
      <c r="BD14" s="8">
        <v>652</v>
      </c>
      <c r="BE14" s="8">
        <v>888</v>
      </c>
      <c r="BF14" s="8">
        <v>866</v>
      </c>
      <c r="BG14" s="8">
        <v>969</v>
      </c>
      <c r="BH14" s="8">
        <v>593</v>
      </c>
      <c r="BI14" s="8">
        <v>928</v>
      </c>
      <c r="BJ14" s="8">
        <v>855</v>
      </c>
      <c r="BK14" s="8">
        <v>919</v>
      </c>
      <c r="BL14" s="8">
        <v>1093</v>
      </c>
      <c r="BM14" s="8">
        <v>1308</v>
      </c>
      <c r="BN14" s="8">
        <v>675</v>
      </c>
      <c r="BO14" s="8">
        <v>992</v>
      </c>
      <c r="BP14" s="8">
        <v>1221</v>
      </c>
      <c r="BQ14" s="8">
        <v>893</v>
      </c>
      <c r="BR14" s="8">
        <v>589</v>
      </c>
      <c r="BS14" s="8">
        <v>772</v>
      </c>
      <c r="BT14" s="8">
        <v>882</v>
      </c>
      <c r="BU14" s="8">
        <v>811</v>
      </c>
      <c r="BV14" s="8">
        <v>860</v>
      </c>
      <c r="BW14" s="8">
        <v>1350</v>
      </c>
      <c r="BX14" s="8">
        <v>1246</v>
      </c>
      <c r="BY14" s="8">
        <v>1047</v>
      </c>
      <c r="BZ14" s="8">
        <v>1722</v>
      </c>
      <c r="CA14" s="8">
        <v>1298</v>
      </c>
      <c r="CB14" s="8">
        <v>1207</v>
      </c>
      <c r="CC14" s="8">
        <v>999</v>
      </c>
      <c r="CD14" s="8">
        <v>774</v>
      </c>
      <c r="CE14" s="8">
        <v>875</v>
      </c>
      <c r="CF14" s="8">
        <v>985</v>
      </c>
      <c r="CG14" s="8">
        <v>900</v>
      </c>
      <c r="CH14" s="8">
        <v>1103</v>
      </c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</row>
    <row r="15" spans="1:165" x14ac:dyDescent="0.2">
      <c r="A15" s="1" t="s">
        <v>287</v>
      </c>
      <c r="B15" s="1" t="s">
        <v>288</v>
      </c>
      <c r="C15" s="1" t="s">
        <v>286</v>
      </c>
      <c r="D15" s="1" t="str">
        <f>HYPERLINK("http://eros.fiehnlab.ucdavis.edu:8080/binbase-compound/bin/show/321731?db=rtx5","321731")</f>
        <v>321731</v>
      </c>
      <c r="E15" s="1" t="s">
        <v>289</v>
      </c>
      <c r="F15" s="1" t="str">
        <f>HYPERLINK("http://www.genome.ad.jp/dbget-bin/www_bget?compound+C00082","C00082")</f>
        <v>C00082</v>
      </c>
      <c r="G15" s="1" t="str">
        <f>HYPERLINK("http://pubchem.ncbi.nlm.nih.gov/summary/summary.cgi?cid=6057","6057")</f>
        <v>6057</v>
      </c>
      <c r="H15" s="1"/>
      <c r="I15" s="8">
        <v>2509</v>
      </c>
      <c r="J15" s="8">
        <v>2624</v>
      </c>
      <c r="K15" s="8">
        <v>2002</v>
      </c>
      <c r="L15" s="8">
        <v>1876</v>
      </c>
      <c r="M15" s="8">
        <v>2165</v>
      </c>
      <c r="N15" s="8">
        <v>19904</v>
      </c>
      <c r="O15" s="8">
        <v>1300</v>
      </c>
      <c r="P15" s="8">
        <v>1508</v>
      </c>
      <c r="Q15" s="8">
        <v>1291</v>
      </c>
      <c r="R15" s="8">
        <v>927</v>
      </c>
      <c r="S15" s="8">
        <v>1466</v>
      </c>
      <c r="T15" s="8">
        <v>2008</v>
      </c>
      <c r="U15" s="8">
        <v>1292</v>
      </c>
      <c r="V15" s="8">
        <v>11921</v>
      </c>
      <c r="W15" s="8">
        <v>1818</v>
      </c>
      <c r="X15" s="8">
        <v>1595</v>
      </c>
      <c r="Y15" s="8">
        <v>10826</v>
      </c>
      <c r="Z15" s="8">
        <v>9135</v>
      </c>
      <c r="AA15" s="8">
        <v>8054</v>
      </c>
      <c r="AB15" s="8">
        <v>1615</v>
      </c>
      <c r="AC15" s="8">
        <v>1265</v>
      </c>
      <c r="AD15" s="8">
        <v>1387</v>
      </c>
      <c r="AE15" s="8">
        <v>1728</v>
      </c>
      <c r="AF15" s="8">
        <v>11110</v>
      </c>
      <c r="AG15" s="8">
        <v>1471</v>
      </c>
      <c r="AH15" s="8">
        <v>11721</v>
      </c>
      <c r="AI15" s="8">
        <v>921</v>
      </c>
      <c r="AJ15" s="8">
        <v>1343</v>
      </c>
      <c r="AK15" s="8">
        <v>1278</v>
      </c>
      <c r="AL15" s="8">
        <v>972</v>
      </c>
      <c r="AM15" s="8">
        <v>2214</v>
      </c>
      <c r="AN15" s="8">
        <v>1972</v>
      </c>
      <c r="AO15" s="8">
        <v>1290</v>
      </c>
      <c r="AP15" s="8">
        <v>2282</v>
      </c>
      <c r="AQ15" s="8">
        <v>1582</v>
      </c>
      <c r="AR15" s="8">
        <v>10990</v>
      </c>
      <c r="AS15" s="8">
        <v>1498</v>
      </c>
      <c r="AT15" s="8">
        <v>1348</v>
      </c>
      <c r="AU15" s="8">
        <v>1566</v>
      </c>
      <c r="AV15" s="8">
        <v>12049</v>
      </c>
      <c r="AW15" s="8">
        <v>1010</v>
      </c>
      <c r="AX15" s="8">
        <v>12242</v>
      </c>
      <c r="AY15" s="8">
        <v>1300</v>
      </c>
      <c r="AZ15" s="8">
        <v>2029</v>
      </c>
      <c r="BA15" s="8">
        <v>1594</v>
      </c>
      <c r="BB15" s="8">
        <v>1685</v>
      </c>
      <c r="BC15" s="8">
        <v>1816</v>
      </c>
      <c r="BD15" s="8">
        <v>1474</v>
      </c>
      <c r="BE15" s="8">
        <v>1518</v>
      </c>
      <c r="BF15" s="8">
        <v>1805</v>
      </c>
      <c r="BG15" s="8">
        <v>1169</v>
      </c>
      <c r="BH15" s="8">
        <v>10678</v>
      </c>
      <c r="BI15" s="8">
        <v>1478</v>
      </c>
      <c r="BJ15" s="8">
        <v>970</v>
      </c>
      <c r="BK15" s="8">
        <v>13630</v>
      </c>
      <c r="BL15" s="8">
        <v>1873</v>
      </c>
      <c r="BM15" s="8">
        <v>1846</v>
      </c>
      <c r="BN15" s="8">
        <v>10750</v>
      </c>
      <c r="BO15" s="8">
        <v>1407</v>
      </c>
      <c r="BP15" s="8">
        <v>930</v>
      </c>
      <c r="BQ15" s="8">
        <v>1765</v>
      </c>
      <c r="BR15" s="8">
        <v>12905</v>
      </c>
      <c r="BS15" s="8">
        <v>14285</v>
      </c>
      <c r="BT15" s="8">
        <v>1392</v>
      </c>
      <c r="BU15" s="8">
        <v>1805</v>
      </c>
      <c r="BV15" s="8">
        <v>1469</v>
      </c>
      <c r="BW15" s="8">
        <v>1682</v>
      </c>
      <c r="BX15" s="8">
        <v>1489</v>
      </c>
      <c r="BY15" s="8">
        <v>1898</v>
      </c>
      <c r="BZ15" s="8">
        <v>11831</v>
      </c>
      <c r="CA15" s="8">
        <v>1569</v>
      </c>
      <c r="CB15" s="8">
        <v>11138</v>
      </c>
      <c r="CC15" s="8">
        <v>11362</v>
      </c>
      <c r="CD15" s="8">
        <v>2095</v>
      </c>
      <c r="CE15" s="8">
        <v>11599</v>
      </c>
      <c r="CF15" s="8">
        <v>1602</v>
      </c>
      <c r="CG15" s="8">
        <v>12126</v>
      </c>
      <c r="CH15" s="8">
        <v>1177</v>
      </c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</row>
    <row r="16" spans="1:165" x14ac:dyDescent="0.2">
      <c r="A16" s="1" t="s">
        <v>290</v>
      </c>
      <c r="B16" s="1" t="s">
        <v>291</v>
      </c>
      <c r="C16" s="1" t="s">
        <v>292</v>
      </c>
      <c r="D16" s="1" t="str">
        <f>HYPERLINK("http://eros.fiehnlab.ucdavis.edu:8080/binbase-compound/bin/show/199775?db=rtx5","199775")</f>
        <v>199775</v>
      </c>
      <c r="E16" s="1" t="s">
        <v>293</v>
      </c>
      <c r="F16" s="1" t="str">
        <f>HYPERLINK("http://www.genome.ad.jp/dbget-bin/www_bget?compound+C00078","C00078")</f>
        <v>C00078</v>
      </c>
      <c r="G16" s="1" t="str">
        <f>HYPERLINK("http://pubchem.ncbi.nlm.nih.gov/summary/summary.cgi?cid=6305","6305")</f>
        <v>6305</v>
      </c>
      <c r="H16" s="1"/>
      <c r="I16" s="8">
        <v>5130</v>
      </c>
      <c r="J16" s="8">
        <v>5346</v>
      </c>
      <c r="K16" s="8">
        <v>3665</v>
      </c>
      <c r="L16" s="8">
        <v>4403</v>
      </c>
      <c r="M16" s="8">
        <v>4693</v>
      </c>
      <c r="N16" s="8">
        <v>5153</v>
      </c>
      <c r="O16" s="8">
        <v>4714</v>
      </c>
      <c r="P16" s="8">
        <v>4334</v>
      </c>
      <c r="Q16" s="8">
        <v>4799</v>
      </c>
      <c r="R16" s="8">
        <v>4538</v>
      </c>
      <c r="S16" s="8">
        <v>4668</v>
      </c>
      <c r="T16" s="8">
        <v>4276</v>
      </c>
      <c r="U16" s="8">
        <v>4157</v>
      </c>
      <c r="V16" s="8">
        <v>5196</v>
      </c>
      <c r="W16" s="8">
        <v>4234</v>
      </c>
      <c r="X16" s="8">
        <v>5471</v>
      </c>
      <c r="Y16" s="8">
        <v>4610</v>
      </c>
      <c r="Z16" s="8">
        <v>4876</v>
      </c>
      <c r="AA16" s="8">
        <v>4544</v>
      </c>
      <c r="AB16" s="8">
        <v>4658</v>
      </c>
      <c r="AC16" s="8">
        <v>4921</v>
      </c>
      <c r="AD16" s="8">
        <v>4271</v>
      </c>
      <c r="AE16" s="8">
        <v>5053</v>
      </c>
      <c r="AF16" s="8">
        <v>4139</v>
      </c>
      <c r="AG16" s="8">
        <v>4544</v>
      </c>
      <c r="AH16" s="8">
        <v>4243</v>
      </c>
      <c r="AI16" s="8">
        <v>4490</v>
      </c>
      <c r="AJ16" s="8">
        <v>5277</v>
      </c>
      <c r="AK16" s="8">
        <v>4324</v>
      </c>
      <c r="AL16" s="8">
        <v>3959</v>
      </c>
      <c r="AM16" s="8">
        <v>5241</v>
      </c>
      <c r="AN16" s="8">
        <v>5906</v>
      </c>
      <c r="AO16" s="8">
        <v>4643</v>
      </c>
      <c r="AP16" s="8">
        <v>5013</v>
      </c>
      <c r="AQ16" s="8">
        <v>5389</v>
      </c>
      <c r="AR16" s="8">
        <v>4985</v>
      </c>
      <c r="AS16" s="8">
        <v>5981</v>
      </c>
      <c r="AT16" s="8">
        <v>5675</v>
      </c>
      <c r="AU16" s="8">
        <v>5548</v>
      </c>
      <c r="AV16" s="8">
        <v>5188</v>
      </c>
      <c r="AW16" s="8">
        <v>6105</v>
      </c>
      <c r="AX16" s="8">
        <v>4831</v>
      </c>
      <c r="AY16" s="8">
        <v>4695</v>
      </c>
      <c r="AZ16" s="8">
        <v>6283</v>
      </c>
      <c r="BA16" s="8">
        <v>5523</v>
      </c>
      <c r="BB16" s="8">
        <v>5533</v>
      </c>
      <c r="BC16" s="8">
        <v>5367</v>
      </c>
      <c r="BD16" s="8">
        <v>4783</v>
      </c>
      <c r="BE16" s="8">
        <v>5471</v>
      </c>
      <c r="BF16" s="8">
        <v>4709</v>
      </c>
      <c r="BG16" s="8">
        <v>4458</v>
      </c>
      <c r="BH16" s="8">
        <v>4546</v>
      </c>
      <c r="BI16" s="8">
        <v>4140</v>
      </c>
      <c r="BJ16" s="8">
        <v>4733</v>
      </c>
      <c r="BK16" s="8">
        <v>5328</v>
      </c>
      <c r="BL16" s="8">
        <v>5014</v>
      </c>
      <c r="BM16" s="8">
        <v>5274</v>
      </c>
      <c r="BN16" s="8">
        <v>5736</v>
      </c>
      <c r="BO16" s="8">
        <v>6226</v>
      </c>
      <c r="BP16" s="8">
        <v>5042</v>
      </c>
      <c r="BQ16" s="8">
        <v>6431</v>
      </c>
      <c r="BR16" s="8">
        <v>5631</v>
      </c>
      <c r="BS16" s="8">
        <v>5222</v>
      </c>
      <c r="BT16" s="8">
        <v>4892</v>
      </c>
      <c r="BU16" s="8">
        <v>5357</v>
      </c>
      <c r="BV16" s="8">
        <v>5442</v>
      </c>
      <c r="BW16" s="8">
        <v>4920</v>
      </c>
      <c r="BX16" s="8">
        <v>4812</v>
      </c>
      <c r="BY16" s="8">
        <v>4801</v>
      </c>
      <c r="BZ16" s="8">
        <v>5251</v>
      </c>
      <c r="CA16" s="8">
        <v>4427</v>
      </c>
      <c r="CB16" s="8">
        <v>4855</v>
      </c>
      <c r="CC16" s="8">
        <v>5204</v>
      </c>
      <c r="CD16" s="8">
        <v>6530</v>
      </c>
      <c r="CE16" s="8">
        <v>4513</v>
      </c>
      <c r="CF16" s="8">
        <v>4389</v>
      </c>
      <c r="CG16" s="8">
        <v>4724</v>
      </c>
      <c r="CH16" s="8">
        <v>4958</v>
      </c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</row>
    <row r="17" spans="1:165" x14ac:dyDescent="0.2">
      <c r="A17" s="1" t="s">
        <v>295</v>
      </c>
      <c r="B17" s="1" t="s">
        <v>296</v>
      </c>
      <c r="C17" s="1" t="s">
        <v>297</v>
      </c>
      <c r="D17" s="1" t="str">
        <f>HYPERLINK("http://eros.fiehnlab.ucdavis.edu:8080/binbase-compound/bin/show/200430?db=rtx5","200430")</f>
        <v>200430</v>
      </c>
      <c r="E17" s="1" t="s">
        <v>298</v>
      </c>
      <c r="F17" s="1" t="str">
        <f>HYPERLINK("http://www.genome.ad.jp/dbget-bin/www_bget?compound+C06771","C06771")</f>
        <v>C06771</v>
      </c>
      <c r="G17" s="1" t="str">
        <f>HYPERLINK("http://pubchem.ncbi.nlm.nih.gov/summary/summary.cgi?cid=7618","7618")</f>
        <v>7618</v>
      </c>
      <c r="H17" s="1"/>
      <c r="I17" s="8">
        <v>835</v>
      </c>
      <c r="J17" s="8">
        <v>593</v>
      </c>
      <c r="K17" s="8">
        <v>581</v>
      </c>
      <c r="L17" s="8">
        <v>511</v>
      </c>
      <c r="M17" s="8">
        <v>718</v>
      </c>
      <c r="N17" s="8">
        <v>632</v>
      </c>
      <c r="O17" s="8">
        <v>502</v>
      </c>
      <c r="P17" s="8">
        <v>755</v>
      </c>
      <c r="Q17" s="8">
        <v>749</v>
      </c>
      <c r="R17" s="8">
        <v>800</v>
      </c>
      <c r="S17" s="8">
        <v>696</v>
      </c>
      <c r="T17" s="8">
        <v>497</v>
      </c>
      <c r="U17" s="8">
        <v>365</v>
      </c>
      <c r="V17" s="8">
        <v>568</v>
      </c>
      <c r="W17" s="8">
        <v>677</v>
      </c>
      <c r="X17" s="8">
        <v>637</v>
      </c>
      <c r="Y17" s="8">
        <v>606</v>
      </c>
      <c r="Z17" s="8">
        <v>583</v>
      </c>
      <c r="AA17" s="8">
        <v>338</v>
      </c>
      <c r="AB17" s="8">
        <v>692</v>
      </c>
      <c r="AC17" s="8">
        <v>525</v>
      </c>
      <c r="AD17" s="8">
        <v>713</v>
      </c>
      <c r="AE17" s="8">
        <v>785</v>
      </c>
      <c r="AF17" s="8">
        <v>475</v>
      </c>
      <c r="AG17" s="8">
        <v>420</v>
      </c>
      <c r="AH17" s="8">
        <v>419</v>
      </c>
      <c r="AI17" s="8">
        <v>635</v>
      </c>
      <c r="AJ17" s="8">
        <v>866</v>
      </c>
      <c r="AK17" s="8">
        <v>558</v>
      </c>
      <c r="AL17" s="8">
        <v>734</v>
      </c>
      <c r="AM17" s="8">
        <v>956</v>
      </c>
      <c r="AN17" s="8">
        <v>672</v>
      </c>
      <c r="AO17" s="8">
        <v>549</v>
      </c>
      <c r="AP17" s="8">
        <v>854</v>
      </c>
      <c r="AQ17" s="8">
        <v>673</v>
      </c>
      <c r="AR17" s="8">
        <v>564</v>
      </c>
      <c r="AS17" s="8">
        <v>626</v>
      </c>
      <c r="AT17" s="8">
        <v>674</v>
      </c>
      <c r="AU17" s="8">
        <v>619</v>
      </c>
      <c r="AV17" s="8">
        <v>566</v>
      </c>
      <c r="AW17" s="8">
        <v>601</v>
      </c>
      <c r="AX17" s="8">
        <v>1086</v>
      </c>
      <c r="AY17" s="8">
        <v>712</v>
      </c>
      <c r="AZ17" s="8">
        <v>850</v>
      </c>
      <c r="BA17" s="8">
        <v>782</v>
      </c>
      <c r="BB17" s="8">
        <v>811</v>
      </c>
      <c r="BC17" s="8">
        <v>733</v>
      </c>
      <c r="BD17" s="8">
        <v>763</v>
      </c>
      <c r="BE17" s="8">
        <v>655</v>
      </c>
      <c r="BF17" s="8">
        <v>514</v>
      </c>
      <c r="BG17" s="8">
        <v>506</v>
      </c>
      <c r="BH17" s="8">
        <v>522</v>
      </c>
      <c r="BI17" s="8">
        <v>740</v>
      </c>
      <c r="BJ17" s="8">
        <v>734</v>
      </c>
      <c r="BK17" s="8">
        <v>712</v>
      </c>
      <c r="BL17" s="8">
        <v>637</v>
      </c>
      <c r="BM17" s="8">
        <v>774</v>
      </c>
      <c r="BN17" s="8">
        <v>661</v>
      </c>
      <c r="BO17" s="8">
        <v>829</v>
      </c>
      <c r="BP17" s="8">
        <v>687</v>
      </c>
      <c r="BQ17" s="8">
        <v>749</v>
      </c>
      <c r="BR17" s="8">
        <v>694</v>
      </c>
      <c r="BS17" s="8">
        <v>547</v>
      </c>
      <c r="BT17" s="8">
        <v>575</v>
      </c>
      <c r="BU17" s="8">
        <v>551</v>
      </c>
      <c r="BV17" s="8">
        <v>586</v>
      </c>
      <c r="BW17" s="8">
        <v>679</v>
      </c>
      <c r="BX17" s="8">
        <v>569</v>
      </c>
      <c r="BY17" s="8">
        <v>535</v>
      </c>
      <c r="BZ17" s="8">
        <v>585</v>
      </c>
      <c r="CA17" s="8">
        <v>628</v>
      </c>
      <c r="CB17" s="8">
        <v>476</v>
      </c>
      <c r="CC17" s="8">
        <v>483</v>
      </c>
      <c r="CD17" s="8">
        <v>6770</v>
      </c>
      <c r="CE17" s="8">
        <v>402</v>
      </c>
      <c r="CF17" s="8">
        <v>373</v>
      </c>
      <c r="CG17" s="8">
        <v>521</v>
      </c>
      <c r="CH17" s="8">
        <v>452</v>
      </c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</row>
    <row r="18" spans="1:165" x14ac:dyDescent="0.2">
      <c r="A18" s="1" t="s">
        <v>299</v>
      </c>
      <c r="B18" s="1" t="s">
        <v>300</v>
      </c>
      <c r="C18" s="1" t="s">
        <v>301</v>
      </c>
      <c r="D18" s="1" t="str">
        <f>HYPERLINK("http://eros.fiehnlab.ucdavis.edu:8080/binbase-compound/bin/show/199804?db=rtx5","199804")</f>
        <v>199804</v>
      </c>
      <c r="E18" s="1" t="s">
        <v>302</v>
      </c>
      <c r="F18" s="1" t="str">
        <f>HYPERLINK("http://www.genome.ad.jp/dbget-bin/www_bget?compound+C01157","C01157")</f>
        <v>C01157</v>
      </c>
      <c r="G18" s="1" t="str">
        <f>HYPERLINK("http://pubchem.ncbi.nlm.nih.gov/summary/summary.cgi?cid=5810","5810")</f>
        <v>5810</v>
      </c>
      <c r="H18" s="1"/>
      <c r="I18" s="8">
        <v>503</v>
      </c>
      <c r="J18" s="8">
        <v>387</v>
      </c>
      <c r="K18" s="8">
        <v>569</v>
      </c>
      <c r="L18" s="8">
        <v>304</v>
      </c>
      <c r="M18" s="8">
        <v>544</v>
      </c>
      <c r="N18" s="8">
        <v>591</v>
      </c>
      <c r="O18" s="8">
        <v>400</v>
      </c>
      <c r="P18" s="8">
        <v>404</v>
      </c>
      <c r="Q18" s="8">
        <v>292</v>
      </c>
      <c r="R18" s="8">
        <v>853</v>
      </c>
      <c r="S18" s="8">
        <v>717</v>
      </c>
      <c r="T18" s="8">
        <v>432</v>
      </c>
      <c r="U18" s="8">
        <v>368</v>
      </c>
      <c r="V18" s="8">
        <v>406</v>
      </c>
      <c r="W18" s="8">
        <v>644</v>
      </c>
      <c r="X18" s="8">
        <v>528</v>
      </c>
      <c r="Y18" s="8">
        <v>459</v>
      </c>
      <c r="Z18" s="8">
        <v>603</v>
      </c>
      <c r="AA18" s="8">
        <v>246</v>
      </c>
      <c r="AB18" s="8">
        <v>436</v>
      </c>
      <c r="AC18" s="8">
        <v>465</v>
      </c>
      <c r="AD18" s="8">
        <v>235</v>
      </c>
      <c r="AE18" s="8">
        <v>422</v>
      </c>
      <c r="AF18" s="8">
        <v>456</v>
      </c>
      <c r="AG18" s="8">
        <v>394</v>
      </c>
      <c r="AH18" s="8">
        <v>607</v>
      </c>
      <c r="AI18" s="8">
        <v>517</v>
      </c>
      <c r="AJ18" s="8">
        <v>713</v>
      </c>
      <c r="AK18" s="8">
        <v>453</v>
      </c>
      <c r="AL18" s="8">
        <v>564</v>
      </c>
      <c r="AM18" s="8">
        <v>449</v>
      </c>
      <c r="AN18" s="8">
        <v>543</v>
      </c>
      <c r="AO18" s="8">
        <v>468</v>
      </c>
      <c r="AP18" s="8">
        <v>573</v>
      </c>
      <c r="AQ18" s="8">
        <v>425</v>
      </c>
      <c r="AR18" s="8">
        <v>516</v>
      </c>
      <c r="AS18" s="8">
        <v>534</v>
      </c>
      <c r="AT18" s="8">
        <v>428</v>
      </c>
      <c r="AU18" s="8">
        <v>371</v>
      </c>
      <c r="AV18" s="8">
        <v>387</v>
      </c>
      <c r="AW18" s="8">
        <v>891</v>
      </c>
      <c r="AX18" s="8">
        <v>458</v>
      </c>
      <c r="AY18" s="8">
        <v>351</v>
      </c>
      <c r="AZ18" s="8">
        <v>490</v>
      </c>
      <c r="BA18" s="8">
        <v>405</v>
      </c>
      <c r="BB18" s="8">
        <v>395</v>
      </c>
      <c r="BC18" s="8">
        <v>361</v>
      </c>
      <c r="BD18" s="8">
        <v>460</v>
      </c>
      <c r="BE18" s="8">
        <v>654</v>
      </c>
      <c r="BF18" s="8">
        <v>755</v>
      </c>
      <c r="BG18" s="8">
        <v>480</v>
      </c>
      <c r="BH18" s="8">
        <v>481</v>
      </c>
      <c r="BI18" s="8">
        <v>824</v>
      </c>
      <c r="BJ18" s="8">
        <v>672</v>
      </c>
      <c r="BK18" s="8">
        <v>464</v>
      </c>
      <c r="BL18" s="8">
        <v>398</v>
      </c>
      <c r="BM18" s="8">
        <v>449</v>
      </c>
      <c r="BN18" s="8">
        <v>478</v>
      </c>
      <c r="BO18" s="8">
        <v>628</v>
      </c>
      <c r="BP18" s="8">
        <v>886</v>
      </c>
      <c r="BQ18" s="8">
        <v>559</v>
      </c>
      <c r="BR18" s="8">
        <v>440</v>
      </c>
      <c r="BS18" s="8">
        <v>539</v>
      </c>
      <c r="BT18" s="8">
        <v>412</v>
      </c>
      <c r="BU18" s="8">
        <v>488</v>
      </c>
      <c r="BV18" s="8">
        <v>704</v>
      </c>
      <c r="BW18" s="8">
        <v>464</v>
      </c>
      <c r="BX18" s="8">
        <v>399</v>
      </c>
      <c r="BY18" s="8">
        <v>371</v>
      </c>
      <c r="BZ18" s="8">
        <v>466</v>
      </c>
      <c r="CA18" s="8">
        <v>537</v>
      </c>
      <c r="CB18" s="8">
        <v>535</v>
      </c>
      <c r="CC18" s="8">
        <v>713</v>
      </c>
      <c r="CD18" s="8">
        <v>422</v>
      </c>
      <c r="CE18" s="8">
        <v>648</v>
      </c>
      <c r="CF18" s="8">
        <v>400</v>
      </c>
      <c r="CG18" s="8">
        <v>574</v>
      </c>
      <c r="CH18" s="8">
        <v>573</v>
      </c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</row>
    <row r="19" spans="1:165" x14ac:dyDescent="0.2">
      <c r="A19" s="1" t="s">
        <v>305</v>
      </c>
      <c r="B19" s="1" t="s">
        <v>306</v>
      </c>
      <c r="C19" s="1" t="s">
        <v>304</v>
      </c>
      <c r="D19" s="1" t="str">
        <f>HYPERLINK("http://eros.fiehnlab.ucdavis.edu:8080/binbase-compound/bin/show/199626?db=rtx5","199626")</f>
        <v>199626</v>
      </c>
      <c r="E19" s="1" t="s">
        <v>307</v>
      </c>
      <c r="F19" s="1" t="str">
        <f>HYPERLINK("http://www.genome.ad.jp/dbget-bin/www_bget?compound+C00188","C00188")</f>
        <v>C00188</v>
      </c>
      <c r="G19" s="1" t="str">
        <f>HYPERLINK("http://pubchem.ncbi.nlm.nih.gov/summary/summary.cgi?cid=6288","6288")</f>
        <v>6288</v>
      </c>
      <c r="H19" s="1"/>
      <c r="I19" s="8">
        <v>57689</v>
      </c>
      <c r="J19" s="8">
        <v>58299</v>
      </c>
      <c r="K19" s="8">
        <v>55853</v>
      </c>
      <c r="L19" s="8">
        <v>54987</v>
      </c>
      <c r="M19" s="8">
        <v>69527</v>
      </c>
      <c r="N19" s="8">
        <v>64999</v>
      </c>
      <c r="O19" s="8">
        <v>50219</v>
      </c>
      <c r="P19" s="8">
        <v>55004</v>
      </c>
      <c r="Q19" s="8">
        <v>59902</v>
      </c>
      <c r="R19" s="8">
        <v>61001</v>
      </c>
      <c r="S19" s="8">
        <v>61468</v>
      </c>
      <c r="T19" s="8">
        <v>55819</v>
      </c>
      <c r="U19" s="8">
        <v>58637</v>
      </c>
      <c r="V19" s="8">
        <v>63372</v>
      </c>
      <c r="W19" s="8">
        <v>59142</v>
      </c>
      <c r="X19" s="8">
        <v>66045</v>
      </c>
      <c r="Y19" s="8">
        <v>59589</v>
      </c>
      <c r="Z19" s="8">
        <v>62236</v>
      </c>
      <c r="AA19" s="8">
        <v>38405</v>
      </c>
      <c r="AB19" s="8">
        <v>45149</v>
      </c>
      <c r="AC19" s="8">
        <v>45144</v>
      </c>
      <c r="AD19" s="8">
        <v>43520</v>
      </c>
      <c r="AE19" s="8">
        <v>48040</v>
      </c>
      <c r="AF19" s="8">
        <v>45140</v>
      </c>
      <c r="AG19" s="8">
        <v>55972</v>
      </c>
      <c r="AH19" s="8">
        <v>59630</v>
      </c>
      <c r="AI19" s="8">
        <v>58542</v>
      </c>
      <c r="AJ19" s="8">
        <v>70239</v>
      </c>
      <c r="AK19" s="8">
        <v>59994</v>
      </c>
      <c r="AL19" s="8">
        <v>57827</v>
      </c>
      <c r="AM19" s="8">
        <v>58584</v>
      </c>
      <c r="AN19" s="8">
        <v>57437</v>
      </c>
      <c r="AO19" s="8">
        <v>52350</v>
      </c>
      <c r="AP19" s="8">
        <v>54267</v>
      </c>
      <c r="AQ19" s="8">
        <v>57120</v>
      </c>
      <c r="AR19" s="8">
        <v>54276</v>
      </c>
      <c r="AS19" s="8">
        <v>69602</v>
      </c>
      <c r="AT19" s="8">
        <v>71015</v>
      </c>
      <c r="AU19" s="8">
        <v>64857</v>
      </c>
      <c r="AV19" s="8">
        <v>64588</v>
      </c>
      <c r="AW19" s="8">
        <v>72518</v>
      </c>
      <c r="AX19" s="8">
        <v>67354</v>
      </c>
      <c r="AY19" s="8">
        <v>40853</v>
      </c>
      <c r="AZ19" s="8">
        <v>46850</v>
      </c>
      <c r="BA19" s="8">
        <v>48248</v>
      </c>
      <c r="BB19" s="8">
        <v>49629</v>
      </c>
      <c r="BC19" s="8">
        <v>47315</v>
      </c>
      <c r="BD19" s="8">
        <v>45135</v>
      </c>
      <c r="BE19" s="8">
        <v>65767</v>
      </c>
      <c r="BF19" s="8">
        <v>63867</v>
      </c>
      <c r="BG19" s="8">
        <v>60834</v>
      </c>
      <c r="BH19" s="8">
        <v>57211</v>
      </c>
      <c r="BI19" s="8">
        <v>69286</v>
      </c>
      <c r="BJ19" s="8">
        <v>69027</v>
      </c>
      <c r="BK19" s="8">
        <v>65076</v>
      </c>
      <c r="BL19" s="8">
        <v>59080</v>
      </c>
      <c r="BM19" s="8">
        <v>60592</v>
      </c>
      <c r="BN19" s="8">
        <v>59053</v>
      </c>
      <c r="BO19" s="8">
        <v>66541</v>
      </c>
      <c r="BP19" s="8">
        <v>66028</v>
      </c>
      <c r="BQ19" s="8">
        <v>74663</v>
      </c>
      <c r="BR19" s="8">
        <v>60433</v>
      </c>
      <c r="BS19" s="8">
        <v>69365</v>
      </c>
      <c r="BT19" s="8">
        <v>71977</v>
      </c>
      <c r="BU19" s="8">
        <v>69831</v>
      </c>
      <c r="BV19" s="8">
        <v>71942</v>
      </c>
      <c r="BW19" s="8">
        <v>53838</v>
      </c>
      <c r="BX19" s="8">
        <v>50063</v>
      </c>
      <c r="BY19" s="8">
        <v>52165</v>
      </c>
      <c r="BZ19" s="8">
        <v>53065</v>
      </c>
      <c r="CA19" s="8">
        <v>55007</v>
      </c>
      <c r="CB19" s="8">
        <v>47841</v>
      </c>
      <c r="CC19" s="8">
        <v>65927</v>
      </c>
      <c r="CD19" s="8">
        <v>65951</v>
      </c>
      <c r="CE19" s="8">
        <v>66419</v>
      </c>
      <c r="CF19" s="8">
        <v>64646</v>
      </c>
      <c r="CG19" s="8">
        <v>70671</v>
      </c>
      <c r="CH19" s="8">
        <v>75388</v>
      </c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</row>
    <row r="20" spans="1:165" x14ac:dyDescent="0.2">
      <c r="A20" s="1" t="s">
        <v>308</v>
      </c>
      <c r="B20" s="1" t="s">
        <v>309</v>
      </c>
      <c r="C20" s="1" t="s">
        <v>310</v>
      </c>
      <c r="D20" s="1" t="str">
        <f>HYPERLINK("http://eros.fiehnlab.ucdavis.edu:8080/binbase-compound/bin/show/203213?db=rtx5","203213")</f>
        <v>203213</v>
      </c>
      <c r="E20" s="1" t="s">
        <v>311</v>
      </c>
      <c r="F20" s="1" t="str">
        <f>HYPERLINK("http://www.genome.ad.jp/dbget-bin/www_bget?compound+C00245","C00245")</f>
        <v>C00245</v>
      </c>
      <c r="G20" s="1" t="str">
        <f>HYPERLINK("http://pubchem.ncbi.nlm.nih.gov/summary/summary.cgi?cid=1123","1123")</f>
        <v>1123</v>
      </c>
      <c r="H20" s="1"/>
      <c r="I20" s="8">
        <v>123</v>
      </c>
      <c r="J20" s="8">
        <v>102</v>
      </c>
      <c r="K20" s="8">
        <v>92</v>
      </c>
      <c r="L20" s="8">
        <v>94</v>
      </c>
      <c r="M20" s="8">
        <v>128</v>
      </c>
      <c r="N20" s="8">
        <v>99</v>
      </c>
      <c r="O20" s="8">
        <v>79</v>
      </c>
      <c r="P20" s="8">
        <v>86</v>
      </c>
      <c r="Q20" s="8">
        <v>97</v>
      </c>
      <c r="R20" s="8">
        <v>89</v>
      </c>
      <c r="S20" s="8">
        <v>91</v>
      </c>
      <c r="T20" s="8">
        <v>120</v>
      </c>
      <c r="U20" s="8">
        <v>82</v>
      </c>
      <c r="V20" s="8">
        <v>102</v>
      </c>
      <c r="W20" s="8">
        <v>53</v>
      </c>
      <c r="X20" s="8">
        <v>91</v>
      </c>
      <c r="Y20" s="8">
        <v>118</v>
      </c>
      <c r="Z20" s="8">
        <v>79</v>
      </c>
      <c r="AA20" s="8">
        <v>121</v>
      </c>
      <c r="AB20" s="8">
        <v>142</v>
      </c>
      <c r="AC20" s="8">
        <v>106</v>
      </c>
      <c r="AD20" s="8">
        <v>93</v>
      </c>
      <c r="AE20" s="8">
        <v>74</v>
      </c>
      <c r="AF20" s="8">
        <v>186</v>
      </c>
      <c r="AG20" s="8">
        <v>74</v>
      </c>
      <c r="AH20" s="8">
        <v>219</v>
      </c>
      <c r="AI20" s="8">
        <v>78</v>
      </c>
      <c r="AJ20" s="8">
        <v>138</v>
      </c>
      <c r="AK20" s="8">
        <v>84</v>
      </c>
      <c r="AL20" s="8">
        <v>102</v>
      </c>
      <c r="AM20" s="8">
        <v>371</v>
      </c>
      <c r="AN20" s="8">
        <v>154</v>
      </c>
      <c r="AO20" s="8">
        <v>100</v>
      </c>
      <c r="AP20" s="8">
        <v>115</v>
      </c>
      <c r="AQ20" s="8">
        <v>74</v>
      </c>
      <c r="AR20" s="8">
        <v>140</v>
      </c>
      <c r="AS20" s="8">
        <v>152</v>
      </c>
      <c r="AT20" s="8">
        <v>77</v>
      </c>
      <c r="AU20" s="8">
        <v>110</v>
      </c>
      <c r="AV20" s="8">
        <v>134</v>
      </c>
      <c r="AW20" s="8">
        <v>77</v>
      </c>
      <c r="AX20" s="8">
        <v>167</v>
      </c>
      <c r="AY20" s="8">
        <v>315</v>
      </c>
      <c r="AZ20" s="8">
        <v>134</v>
      </c>
      <c r="BA20" s="8">
        <v>208</v>
      </c>
      <c r="BB20" s="8">
        <v>459</v>
      </c>
      <c r="BC20" s="8">
        <v>552</v>
      </c>
      <c r="BD20" s="8">
        <v>195</v>
      </c>
      <c r="BE20" s="8">
        <v>83</v>
      </c>
      <c r="BF20" s="8">
        <v>80</v>
      </c>
      <c r="BG20" s="8">
        <v>116</v>
      </c>
      <c r="BH20" s="8">
        <v>93</v>
      </c>
      <c r="BI20" s="8">
        <v>73</v>
      </c>
      <c r="BJ20" s="8">
        <v>72</v>
      </c>
      <c r="BK20" s="8">
        <v>238</v>
      </c>
      <c r="BL20" s="8">
        <v>112</v>
      </c>
      <c r="BM20" s="8">
        <v>101</v>
      </c>
      <c r="BN20" s="8">
        <v>56</v>
      </c>
      <c r="BO20" s="8">
        <v>106</v>
      </c>
      <c r="BP20" s="8">
        <v>102</v>
      </c>
      <c r="BQ20" s="8">
        <v>132</v>
      </c>
      <c r="BR20" s="8">
        <v>292</v>
      </c>
      <c r="BS20" s="8">
        <v>222</v>
      </c>
      <c r="BT20" s="8">
        <v>85</v>
      </c>
      <c r="BU20" s="8">
        <v>95</v>
      </c>
      <c r="BV20" s="8">
        <v>81</v>
      </c>
      <c r="BW20" s="8">
        <v>345</v>
      </c>
      <c r="BX20" s="8">
        <v>136</v>
      </c>
      <c r="BY20" s="8">
        <v>287</v>
      </c>
      <c r="BZ20" s="8">
        <v>213</v>
      </c>
      <c r="CA20" s="8">
        <v>145</v>
      </c>
      <c r="CB20" s="8">
        <v>528</v>
      </c>
      <c r="CC20" s="8">
        <v>108</v>
      </c>
      <c r="CD20" s="8">
        <v>77</v>
      </c>
      <c r="CE20" s="8">
        <v>178</v>
      </c>
      <c r="CF20" s="8">
        <v>77</v>
      </c>
      <c r="CG20" s="8">
        <v>65</v>
      </c>
      <c r="CH20" s="8">
        <v>67</v>
      </c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</row>
    <row r="21" spans="1:165" x14ac:dyDescent="0.2">
      <c r="A21" s="1" t="s">
        <v>312</v>
      </c>
      <c r="B21" s="1" t="s">
        <v>313</v>
      </c>
      <c r="C21" s="1" t="s">
        <v>314</v>
      </c>
      <c r="D21" s="1" t="str">
        <f>HYPERLINK("http://eros.fiehnlab.ucdavis.edu:8080/binbase-compound/bin/show/203596?db=rtx5","203596")</f>
        <v>203596</v>
      </c>
      <c r="E21" s="1" t="s">
        <v>315</v>
      </c>
      <c r="F21" s="1" t="str">
        <f>HYPERLINK("http://www.genome.ad.jp/dbget-bin/www_bget?compound+C06467","C06467")</f>
        <v>C06467</v>
      </c>
      <c r="G21" s="1" t="str">
        <f>HYPERLINK("http://pubchem.ncbi.nlm.nih.gov/summary/summary.cgi?cid=99459","99459")</f>
        <v>99459</v>
      </c>
      <c r="H21" s="1"/>
      <c r="I21" s="8">
        <v>185</v>
      </c>
      <c r="J21" s="8">
        <v>171</v>
      </c>
      <c r="K21" s="8">
        <v>239</v>
      </c>
      <c r="L21" s="8">
        <v>369</v>
      </c>
      <c r="M21" s="8">
        <v>323</v>
      </c>
      <c r="N21" s="8">
        <v>435</v>
      </c>
      <c r="O21" s="8">
        <v>50501</v>
      </c>
      <c r="P21" s="8">
        <v>697</v>
      </c>
      <c r="Q21" s="8">
        <v>33451</v>
      </c>
      <c r="R21" s="8">
        <v>1803</v>
      </c>
      <c r="S21" s="8">
        <v>8643</v>
      </c>
      <c r="T21" s="8">
        <v>1533</v>
      </c>
      <c r="U21" s="8">
        <v>944</v>
      </c>
      <c r="V21" s="8">
        <v>7812</v>
      </c>
      <c r="W21" s="8">
        <v>420</v>
      </c>
      <c r="X21" s="8">
        <v>10760</v>
      </c>
      <c r="Y21" s="8">
        <v>16913</v>
      </c>
      <c r="Z21" s="8">
        <v>3918</v>
      </c>
      <c r="AA21" s="8">
        <v>116984</v>
      </c>
      <c r="AB21" s="8">
        <v>935</v>
      </c>
      <c r="AC21" s="8">
        <v>1267</v>
      </c>
      <c r="AD21" s="8">
        <v>938</v>
      </c>
      <c r="AE21" s="8">
        <v>239</v>
      </c>
      <c r="AF21" s="8">
        <v>81662</v>
      </c>
      <c r="AG21" s="8">
        <v>10815</v>
      </c>
      <c r="AH21" s="8">
        <v>6765</v>
      </c>
      <c r="AI21" s="8">
        <v>7735</v>
      </c>
      <c r="AJ21" s="8">
        <v>254</v>
      </c>
      <c r="AK21" s="8">
        <v>7788</v>
      </c>
      <c r="AL21" s="8">
        <v>14175</v>
      </c>
      <c r="AM21" s="8">
        <v>1626</v>
      </c>
      <c r="AN21" s="8">
        <v>5306</v>
      </c>
      <c r="AO21" s="8">
        <v>4042</v>
      </c>
      <c r="AP21" s="8">
        <v>407</v>
      </c>
      <c r="AQ21" s="8">
        <v>8610</v>
      </c>
      <c r="AR21" s="8">
        <v>24377</v>
      </c>
      <c r="AS21" s="8">
        <v>3711</v>
      </c>
      <c r="AT21" s="8">
        <v>2192</v>
      </c>
      <c r="AU21" s="8">
        <v>2184</v>
      </c>
      <c r="AV21" s="8">
        <v>5727</v>
      </c>
      <c r="AW21" s="8">
        <v>266</v>
      </c>
      <c r="AX21" s="8">
        <v>1137</v>
      </c>
      <c r="AY21" s="8">
        <v>168</v>
      </c>
      <c r="AZ21" s="8">
        <v>419</v>
      </c>
      <c r="BA21" s="8">
        <v>2422</v>
      </c>
      <c r="BB21" s="8">
        <v>271</v>
      </c>
      <c r="BC21" s="8">
        <v>909</v>
      </c>
      <c r="BD21" s="8">
        <v>338</v>
      </c>
      <c r="BE21" s="8">
        <v>1536</v>
      </c>
      <c r="BF21" s="8">
        <v>5502</v>
      </c>
      <c r="BG21" s="8">
        <v>356</v>
      </c>
      <c r="BH21" s="8">
        <v>1074</v>
      </c>
      <c r="BI21" s="8">
        <v>1378</v>
      </c>
      <c r="BJ21" s="8">
        <v>296</v>
      </c>
      <c r="BK21" s="8">
        <v>1229</v>
      </c>
      <c r="BL21" s="8">
        <v>357</v>
      </c>
      <c r="BM21" s="8">
        <v>689</v>
      </c>
      <c r="BN21" s="8">
        <v>676</v>
      </c>
      <c r="BO21" s="8">
        <v>276</v>
      </c>
      <c r="BP21" s="8">
        <v>192</v>
      </c>
      <c r="BQ21" s="8">
        <v>4765</v>
      </c>
      <c r="BR21" s="8">
        <v>28567</v>
      </c>
      <c r="BS21" s="8">
        <v>365</v>
      </c>
      <c r="BT21" s="8">
        <v>2315</v>
      </c>
      <c r="BU21" s="8">
        <v>5470</v>
      </c>
      <c r="BV21" s="8">
        <v>284</v>
      </c>
      <c r="BW21" s="8">
        <v>6552</v>
      </c>
      <c r="BX21" s="8">
        <v>222</v>
      </c>
      <c r="BY21" s="8">
        <v>175</v>
      </c>
      <c r="BZ21" s="8">
        <v>139</v>
      </c>
      <c r="CA21" s="8">
        <v>1414</v>
      </c>
      <c r="CB21" s="8">
        <v>10619</v>
      </c>
      <c r="CC21" s="8">
        <v>32936</v>
      </c>
      <c r="CD21" s="8">
        <v>1244</v>
      </c>
      <c r="CE21" s="8">
        <v>725</v>
      </c>
      <c r="CF21" s="8">
        <v>1268</v>
      </c>
      <c r="CG21" s="8">
        <v>133</v>
      </c>
      <c r="CH21" s="8">
        <v>919</v>
      </c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</row>
    <row r="22" spans="1:165" x14ac:dyDescent="0.2">
      <c r="A22" s="1" t="s">
        <v>1418</v>
      </c>
      <c r="B22" s="1" t="s">
        <v>316</v>
      </c>
      <c r="C22" s="1" t="s">
        <v>317</v>
      </c>
      <c r="D22" s="1" t="str">
        <f>HYPERLINK("http://eros.fiehnlab.ucdavis.edu:8080/binbase-compound/bin/show/325185?db=rtx5","325185")</f>
        <v>325185</v>
      </c>
      <c r="E22" s="1" t="s">
        <v>318</v>
      </c>
      <c r="F22" s="1" t="str">
        <f>HYPERLINK("http://www.genome.ad.jp/dbget-bin/www_bget?compound+D09007","D09007")</f>
        <v>D09007</v>
      </c>
      <c r="G22" s="1" t="str">
        <f>HYPERLINK("http://pubchem.ncbi.nlm.nih.gov/summary/summary.cgi?cid=92092","92092")</f>
        <v>92092</v>
      </c>
      <c r="H22" s="1"/>
      <c r="I22" s="8">
        <v>1881</v>
      </c>
      <c r="J22" s="8">
        <v>2048</v>
      </c>
      <c r="K22" s="8">
        <v>1574</v>
      </c>
      <c r="L22" s="8">
        <v>1912</v>
      </c>
      <c r="M22" s="8">
        <v>2207</v>
      </c>
      <c r="N22" s="8">
        <v>2341</v>
      </c>
      <c r="O22" s="8">
        <v>85</v>
      </c>
      <c r="P22" s="8">
        <v>93</v>
      </c>
      <c r="Q22" s="8">
        <v>107</v>
      </c>
      <c r="R22" s="8">
        <v>83</v>
      </c>
      <c r="S22" s="8">
        <v>74</v>
      </c>
      <c r="T22" s="8">
        <v>97</v>
      </c>
      <c r="U22" s="8">
        <v>91</v>
      </c>
      <c r="V22" s="8">
        <v>70</v>
      </c>
      <c r="W22" s="8">
        <v>75</v>
      </c>
      <c r="X22" s="8">
        <v>109</v>
      </c>
      <c r="Y22" s="8">
        <v>57</v>
      </c>
      <c r="Z22" s="8">
        <v>73</v>
      </c>
      <c r="AA22" s="8">
        <v>53</v>
      </c>
      <c r="AB22" s="8">
        <v>81</v>
      </c>
      <c r="AC22" s="8">
        <v>93</v>
      </c>
      <c r="AD22" s="8">
        <v>106</v>
      </c>
      <c r="AE22" s="8">
        <v>98</v>
      </c>
      <c r="AF22" s="8">
        <v>58</v>
      </c>
      <c r="AG22" s="8">
        <v>63</v>
      </c>
      <c r="AH22" s="8">
        <v>68</v>
      </c>
      <c r="AI22" s="8">
        <v>110</v>
      </c>
      <c r="AJ22" s="8">
        <v>122</v>
      </c>
      <c r="AK22" s="8">
        <v>81</v>
      </c>
      <c r="AL22" s="8">
        <v>122</v>
      </c>
      <c r="AM22" s="8">
        <v>158</v>
      </c>
      <c r="AN22" s="8">
        <v>112</v>
      </c>
      <c r="AO22" s="8">
        <v>158</v>
      </c>
      <c r="AP22" s="8">
        <v>123</v>
      </c>
      <c r="AQ22" s="8">
        <v>108</v>
      </c>
      <c r="AR22" s="8">
        <v>89</v>
      </c>
      <c r="AS22" s="8">
        <v>68</v>
      </c>
      <c r="AT22" s="8">
        <v>104</v>
      </c>
      <c r="AU22" s="8">
        <v>122</v>
      </c>
      <c r="AV22" s="8">
        <v>82</v>
      </c>
      <c r="AW22" s="8">
        <v>80</v>
      </c>
      <c r="AX22" s="8">
        <v>63</v>
      </c>
      <c r="AY22" s="8">
        <v>128</v>
      </c>
      <c r="AZ22" s="8">
        <v>104</v>
      </c>
      <c r="BA22" s="8">
        <v>96</v>
      </c>
      <c r="BB22" s="8">
        <v>88</v>
      </c>
      <c r="BC22" s="8">
        <v>112</v>
      </c>
      <c r="BD22" s="8">
        <v>79</v>
      </c>
      <c r="BE22" s="8">
        <v>96</v>
      </c>
      <c r="BF22" s="8">
        <v>117</v>
      </c>
      <c r="BG22" s="8">
        <v>123</v>
      </c>
      <c r="BH22" s="8">
        <v>67</v>
      </c>
      <c r="BI22" s="8">
        <v>73</v>
      </c>
      <c r="BJ22" s="8">
        <v>65</v>
      </c>
      <c r="BK22" s="8">
        <v>109</v>
      </c>
      <c r="BL22" s="8">
        <v>111</v>
      </c>
      <c r="BM22" s="8">
        <v>112</v>
      </c>
      <c r="BN22" s="8">
        <v>65</v>
      </c>
      <c r="BO22" s="8">
        <v>127</v>
      </c>
      <c r="BP22" s="8">
        <v>82</v>
      </c>
      <c r="BQ22" s="8">
        <v>97</v>
      </c>
      <c r="BR22" s="8">
        <v>82</v>
      </c>
      <c r="BS22" s="8">
        <v>99</v>
      </c>
      <c r="BT22" s="8">
        <v>83</v>
      </c>
      <c r="BU22" s="8">
        <v>69</v>
      </c>
      <c r="BV22" s="8">
        <v>65</v>
      </c>
      <c r="BW22" s="8">
        <v>115</v>
      </c>
      <c r="BX22" s="8">
        <v>119</v>
      </c>
      <c r="BY22" s="8">
        <v>133</v>
      </c>
      <c r="BZ22" s="8">
        <v>82</v>
      </c>
      <c r="CA22" s="8">
        <v>97</v>
      </c>
      <c r="CB22" s="8">
        <v>74</v>
      </c>
      <c r="CC22" s="8">
        <v>102</v>
      </c>
      <c r="CD22" s="8">
        <v>77</v>
      </c>
      <c r="CE22" s="8">
        <v>86</v>
      </c>
      <c r="CF22" s="8">
        <v>98</v>
      </c>
      <c r="CG22" s="8">
        <v>90</v>
      </c>
      <c r="CH22" s="8">
        <v>74</v>
      </c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</row>
    <row r="23" spans="1:165" x14ac:dyDescent="0.2">
      <c r="A23" s="1" t="s">
        <v>319</v>
      </c>
      <c r="B23" s="1" t="s">
        <v>320</v>
      </c>
      <c r="C23" s="1" t="s">
        <v>321</v>
      </c>
      <c r="D23" s="1" t="str">
        <f>HYPERLINK("http://eros.fiehnlab.ucdavis.edu:8080/binbase-compound/bin/show/202121?db=rtx5","202121")</f>
        <v>202121</v>
      </c>
      <c r="E23" s="1" t="s">
        <v>322</v>
      </c>
      <c r="F23" s="1" t="str">
        <f>HYPERLINK("http://www.genome.ad.jp/dbget-bin/www_bget?compound+C00089","C00089")</f>
        <v>C00089</v>
      </c>
      <c r="G23" s="1" t="str">
        <f>HYPERLINK("http://pubchem.ncbi.nlm.nih.gov/summary/summary.cgi?cid=5988","5988")</f>
        <v>5988</v>
      </c>
      <c r="H23" s="1"/>
      <c r="I23" s="8">
        <v>62</v>
      </c>
      <c r="J23" s="8">
        <v>76</v>
      </c>
      <c r="K23" s="8">
        <v>151</v>
      </c>
      <c r="L23" s="8">
        <v>33</v>
      </c>
      <c r="M23" s="8">
        <v>166</v>
      </c>
      <c r="N23" s="8">
        <v>177</v>
      </c>
      <c r="O23" s="8">
        <v>82</v>
      </c>
      <c r="P23" s="8">
        <v>524</v>
      </c>
      <c r="Q23" s="8">
        <v>180</v>
      </c>
      <c r="R23" s="8">
        <v>24</v>
      </c>
      <c r="S23" s="8">
        <v>171</v>
      </c>
      <c r="T23" s="8">
        <v>59</v>
      </c>
      <c r="U23" s="8">
        <v>181</v>
      </c>
      <c r="V23" s="8">
        <v>127</v>
      </c>
      <c r="W23" s="8">
        <v>130</v>
      </c>
      <c r="X23" s="8">
        <v>32</v>
      </c>
      <c r="Y23" s="8">
        <v>39</v>
      </c>
      <c r="Z23" s="8">
        <v>444</v>
      </c>
      <c r="AA23" s="8">
        <v>84</v>
      </c>
      <c r="AB23" s="8">
        <v>18</v>
      </c>
      <c r="AC23" s="8">
        <v>45</v>
      </c>
      <c r="AD23" s="8">
        <v>124</v>
      </c>
      <c r="AE23" s="8">
        <v>182</v>
      </c>
      <c r="AF23" s="8">
        <v>100</v>
      </c>
      <c r="AG23" s="8">
        <v>24</v>
      </c>
      <c r="AH23" s="8">
        <v>404</v>
      </c>
      <c r="AI23" s="8">
        <v>51</v>
      </c>
      <c r="AJ23" s="8">
        <v>12</v>
      </c>
      <c r="AK23" s="8">
        <v>30</v>
      </c>
      <c r="AL23" s="8">
        <v>104</v>
      </c>
      <c r="AM23" s="8">
        <v>177</v>
      </c>
      <c r="AN23" s="8">
        <v>77</v>
      </c>
      <c r="AO23" s="8">
        <v>245</v>
      </c>
      <c r="AP23" s="8">
        <v>197</v>
      </c>
      <c r="AQ23" s="8">
        <v>153</v>
      </c>
      <c r="AR23" s="8">
        <v>37</v>
      </c>
      <c r="AS23" s="8">
        <v>29</v>
      </c>
      <c r="AT23" s="8">
        <v>37</v>
      </c>
      <c r="AU23" s="8">
        <v>92</v>
      </c>
      <c r="AV23" s="8">
        <v>223</v>
      </c>
      <c r="AW23" s="8">
        <v>194</v>
      </c>
      <c r="AX23" s="8">
        <v>51</v>
      </c>
      <c r="AY23" s="8">
        <v>241</v>
      </c>
      <c r="AZ23" s="8">
        <v>48</v>
      </c>
      <c r="BA23" s="8">
        <v>183</v>
      </c>
      <c r="BB23" s="8">
        <v>90</v>
      </c>
      <c r="BC23" s="8">
        <v>62</v>
      </c>
      <c r="BD23" s="8">
        <v>166</v>
      </c>
      <c r="BE23" s="8">
        <v>535</v>
      </c>
      <c r="BF23" s="8">
        <v>169</v>
      </c>
      <c r="BG23" s="8">
        <v>93</v>
      </c>
      <c r="BH23" s="8">
        <v>162</v>
      </c>
      <c r="BI23" s="8">
        <v>114</v>
      </c>
      <c r="BJ23" s="8">
        <v>32</v>
      </c>
      <c r="BK23" s="8">
        <v>105</v>
      </c>
      <c r="BL23" s="8">
        <v>22</v>
      </c>
      <c r="BM23" s="8">
        <v>44</v>
      </c>
      <c r="BN23" s="8">
        <v>106</v>
      </c>
      <c r="BO23" s="8">
        <v>58</v>
      </c>
      <c r="BP23" s="8">
        <v>217</v>
      </c>
      <c r="BQ23" s="8">
        <v>228</v>
      </c>
      <c r="BR23" s="8">
        <v>217</v>
      </c>
      <c r="BS23" s="8">
        <v>59</v>
      </c>
      <c r="BT23" s="8">
        <v>143</v>
      </c>
      <c r="BU23" s="8">
        <v>33</v>
      </c>
      <c r="BV23" s="8">
        <v>44</v>
      </c>
      <c r="BW23" s="8">
        <v>28</v>
      </c>
      <c r="BX23" s="8">
        <v>16</v>
      </c>
      <c r="BY23" s="8">
        <v>145</v>
      </c>
      <c r="BZ23" s="8">
        <v>135</v>
      </c>
      <c r="CA23" s="8">
        <v>81</v>
      </c>
      <c r="CB23" s="8">
        <v>103</v>
      </c>
      <c r="CC23" s="8">
        <v>139</v>
      </c>
      <c r="CD23" s="8">
        <v>212</v>
      </c>
      <c r="CE23" s="8">
        <v>100</v>
      </c>
      <c r="CF23" s="8">
        <v>75</v>
      </c>
      <c r="CG23" s="8">
        <v>111</v>
      </c>
      <c r="CH23" s="8">
        <v>51</v>
      </c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</row>
    <row r="24" spans="1:165" x14ac:dyDescent="0.2">
      <c r="A24" s="1" t="s">
        <v>323</v>
      </c>
      <c r="B24" s="1" t="s">
        <v>324</v>
      </c>
      <c r="C24" s="1" t="s">
        <v>325</v>
      </c>
      <c r="D24" s="1" t="str">
        <f>HYPERLINK("http://eros.fiehnlab.ucdavis.edu:8080/binbase-compound/bin/show/199210?db=rtx5","199210")</f>
        <v>199210</v>
      </c>
      <c r="E24" s="1" t="s">
        <v>326</v>
      </c>
      <c r="F24" s="1" t="str">
        <f>HYPERLINK("http://www.genome.ad.jp/dbget-bin/www_bget?compound+C00042","C00042")</f>
        <v>C00042</v>
      </c>
      <c r="G24" s="1" t="str">
        <f>HYPERLINK("http://pubchem.ncbi.nlm.nih.gov/summary/summary.cgi?cid=1110","1110")</f>
        <v>1110</v>
      </c>
      <c r="H24" s="1"/>
      <c r="I24" s="8">
        <v>380</v>
      </c>
      <c r="J24" s="8">
        <v>282</v>
      </c>
      <c r="K24" s="8">
        <v>66</v>
      </c>
      <c r="L24" s="8">
        <v>322</v>
      </c>
      <c r="M24" s="8">
        <v>92</v>
      </c>
      <c r="N24" s="8">
        <v>116</v>
      </c>
      <c r="O24" s="8">
        <v>313</v>
      </c>
      <c r="P24" s="8">
        <v>538</v>
      </c>
      <c r="Q24" s="8">
        <v>102</v>
      </c>
      <c r="R24" s="8">
        <v>78</v>
      </c>
      <c r="S24" s="8">
        <v>126</v>
      </c>
      <c r="T24" s="8">
        <v>391</v>
      </c>
      <c r="U24" s="8">
        <v>561</v>
      </c>
      <c r="V24" s="8">
        <v>596</v>
      </c>
      <c r="W24" s="8">
        <v>1014</v>
      </c>
      <c r="X24" s="8">
        <v>106</v>
      </c>
      <c r="Y24" s="8">
        <v>539</v>
      </c>
      <c r="Z24" s="8">
        <v>85</v>
      </c>
      <c r="AA24" s="8">
        <v>420</v>
      </c>
      <c r="AB24" s="8">
        <v>494</v>
      </c>
      <c r="AC24" s="8">
        <v>99</v>
      </c>
      <c r="AD24" s="8">
        <v>488</v>
      </c>
      <c r="AE24" s="8">
        <v>503</v>
      </c>
      <c r="AF24" s="8">
        <v>308</v>
      </c>
      <c r="AG24" s="8">
        <v>572</v>
      </c>
      <c r="AH24" s="8">
        <v>1144</v>
      </c>
      <c r="AI24" s="8">
        <v>702</v>
      </c>
      <c r="AJ24" s="8">
        <v>902</v>
      </c>
      <c r="AK24" s="8">
        <v>800</v>
      </c>
      <c r="AL24" s="8">
        <v>128</v>
      </c>
      <c r="AM24" s="8">
        <v>405</v>
      </c>
      <c r="AN24" s="8">
        <v>575</v>
      </c>
      <c r="AO24" s="8">
        <v>434</v>
      </c>
      <c r="AP24" s="8">
        <v>606</v>
      </c>
      <c r="AQ24" s="8">
        <v>100</v>
      </c>
      <c r="AR24" s="8">
        <v>71</v>
      </c>
      <c r="AS24" s="8">
        <v>486</v>
      </c>
      <c r="AT24" s="8">
        <v>493</v>
      </c>
      <c r="AU24" s="8">
        <v>545</v>
      </c>
      <c r="AV24" s="8">
        <v>422</v>
      </c>
      <c r="AW24" s="8">
        <v>852</v>
      </c>
      <c r="AX24" s="8">
        <v>87</v>
      </c>
      <c r="AY24" s="8">
        <v>925</v>
      </c>
      <c r="AZ24" s="8">
        <v>568</v>
      </c>
      <c r="BA24" s="8">
        <v>105</v>
      </c>
      <c r="BB24" s="8">
        <v>427</v>
      </c>
      <c r="BC24" s="8">
        <v>146</v>
      </c>
      <c r="BD24" s="8">
        <v>112</v>
      </c>
      <c r="BE24" s="8">
        <v>757</v>
      </c>
      <c r="BF24" s="8">
        <v>1451</v>
      </c>
      <c r="BG24" s="8">
        <v>1351</v>
      </c>
      <c r="BH24" s="8">
        <v>575</v>
      </c>
      <c r="BI24" s="8">
        <v>658</v>
      </c>
      <c r="BJ24" s="8">
        <v>888</v>
      </c>
      <c r="BK24" s="8">
        <v>603</v>
      </c>
      <c r="BL24" s="8">
        <v>437</v>
      </c>
      <c r="BM24" s="8">
        <v>662</v>
      </c>
      <c r="BN24" s="8">
        <v>432</v>
      </c>
      <c r="BO24" s="8">
        <v>574</v>
      </c>
      <c r="BP24" s="8">
        <v>479</v>
      </c>
      <c r="BQ24" s="8">
        <v>533</v>
      </c>
      <c r="BR24" s="8">
        <v>590</v>
      </c>
      <c r="BS24" s="8">
        <v>571</v>
      </c>
      <c r="BT24" s="8">
        <v>82</v>
      </c>
      <c r="BU24" s="8">
        <v>661</v>
      </c>
      <c r="BV24" s="8">
        <v>665</v>
      </c>
      <c r="BW24" s="8">
        <v>602</v>
      </c>
      <c r="BX24" s="8">
        <v>483</v>
      </c>
      <c r="BY24" s="8">
        <v>449</v>
      </c>
      <c r="BZ24" s="8">
        <v>436</v>
      </c>
      <c r="CA24" s="8">
        <v>79</v>
      </c>
      <c r="CB24" s="8">
        <v>531</v>
      </c>
      <c r="CC24" s="8">
        <v>827</v>
      </c>
      <c r="CD24" s="8">
        <v>570</v>
      </c>
      <c r="CE24" s="8">
        <v>609</v>
      </c>
      <c r="CF24" s="8">
        <v>841</v>
      </c>
      <c r="CG24" s="8">
        <v>808</v>
      </c>
      <c r="CH24" s="8">
        <v>1089</v>
      </c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</row>
    <row r="25" spans="1:165" x14ac:dyDescent="0.2">
      <c r="A25" s="1" t="s">
        <v>327</v>
      </c>
      <c r="B25" s="1" t="s">
        <v>328</v>
      </c>
      <c r="C25" s="1" t="s">
        <v>304</v>
      </c>
      <c r="D25" s="1" t="str">
        <f>HYPERLINK("http://eros.fiehnlab.ucdavis.edu:8080/binbase-compound/bin/show/199195?db=rtx5","199195")</f>
        <v>199195</v>
      </c>
      <c r="E25" s="1" t="s">
        <v>329</v>
      </c>
      <c r="F25" s="1" t="str">
        <f>HYPERLINK("http://www.genome.ad.jp/dbget-bin/www_bget?compound+C01530","C01530")</f>
        <v>C01530</v>
      </c>
      <c r="G25" s="1" t="str">
        <f>HYPERLINK("http://pubchem.ncbi.nlm.nih.gov/summary/summary.cgi?cid=5281","5281")</f>
        <v>5281</v>
      </c>
      <c r="H25" s="1"/>
      <c r="I25" s="8">
        <v>105684</v>
      </c>
      <c r="J25" s="8">
        <v>60242</v>
      </c>
      <c r="K25" s="8">
        <v>68540</v>
      </c>
      <c r="L25" s="8">
        <v>80955</v>
      </c>
      <c r="M25" s="8">
        <v>103578</v>
      </c>
      <c r="N25" s="8">
        <v>106807</v>
      </c>
      <c r="O25" s="8">
        <v>67039</v>
      </c>
      <c r="P25" s="8">
        <v>94188</v>
      </c>
      <c r="Q25" s="8">
        <v>86138</v>
      </c>
      <c r="R25" s="8">
        <v>95004</v>
      </c>
      <c r="S25" s="8">
        <v>83122</v>
      </c>
      <c r="T25" s="8">
        <v>99049</v>
      </c>
      <c r="U25" s="8">
        <v>59820</v>
      </c>
      <c r="V25" s="8">
        <v>81950</v>
      </c>
      <c r="W25" s="8">
        <v>78917</v>
      </c>
      <c r="X25" s="8">
        <v>120697</v>
      </c>
      <c r="Y25" s="8">
        <v>77064</v>
      </c>
      <c r="Z25" s="8">
        <v>120732</v>
      </c>
      <c r="AA25" s="8">
        <v>56241</v>
      </c>
      <c r="AB25" s="8">
        <v>78988</v>
      </c>
      <c r="AC25" s="8">
        <v>80927</v>
      </c>
      <c r="AD25" s="8">
        <v>98586</v>
      </c>
      <c r="AE25" s="8">
        <v>102346</v>
      </c>
      <c r="AF25" s="8">
        <v>75318</v>
      </c>
      <c r="AG25" s="8">
        <v>65649</v>
      </c>
      <c r="AH25" s="8">
        <v>54705</v>
      </c>
      <c r="AI25" s="8">
        <v>70700</v>
      </c>
      <c r="AJ25" s="8">
        <v>105603</v>
      </c>
      <c r="AK25" s="8">
        <v>102825</v>
      </c>
      <c r="AL25" s="8">
        <v>99200</v>
      </c>
      <c r="AM25" s="8">
        <v>96756</v>
      </c>
      <c r="AN25" s="8">
        <v>82077</v>
      </c>
      <c r="AO25" s="8">
        <v>95405</v>
      </c>
      <c r="AP25" s="8">
        <v>120144</v>
      </c>
      <c r="AQ25" s="8">
        <v>96334</v>
      </c>
      <c r="AR25" s="8">
        <v>79643</v>
      </c>
      <c r="AS25" s="8">
        <v>105507</v>
      </c>
      <c r="AT25" s="8">
        <v>81913</v>
      </c>
      <c r="AU25" s="8">
        <v>87560</v>
      </c>
      <c r="AV25" s="8">
        <v>85819</v>
      </c>
      <c r="AW25" s="8">
        <v>103328</v>
      </c>
      <c r="AX25" s="8">
        <v>88921</v>
      </c>
      <c r="AY25" s="8">
        <v>106121</v>
      </c>
      <c r="AZ25" s="8">
        <v>114225</v>
      </c>
      <c r="BA25" s="8">
        <v>121718</v>
      </c>
      <c r="BB25" s="8">
        <v>133850</v>
      </c>
      <c r="BC25" s="8">
        <v>128326</v>
      </c>
      <c r="BD25" s="8">
        <v>106066</v>
      </c>
      <c r="BE25" s="8">
        <v>90515</v>
      </c>
      <c r="BF25" s="8">
        <v>73339</v>
      </c>
      <c r="BG25" s="8">
        <v>87991</v>
      </c>
      <c r="BH25" s="8">
        <v>45808</v>
      </c>
      <c r="BI25" s="8">
        <v>79121</v>
      </c>
      <c r="BJ25" s="8">
        <v>85795</v>
      </c>
      <c r="BK25" s="8">
        <v>88309</v>
      </c>
      <c r="BL25" s="8">
        <v>94775</v>
      </c>
      <c r="BM25" s="8">
        <v>96149</v>
      </c>
      <c r="BN25" s="8">
        <v>72265</v>
      </c>
      <c r="BO25" s="8">
        <v>96042</v>
      </c>
      <c r="BP25" s="8">
        <v>96849</v>
      </c>
      <c r="BQ25" s="8">
        <v>102563</v>
      </c>
      <c r="BR25" s="8">
        <v>112139</v>
      </c>
      <c r="BS25" s="8">
        <v>102351</v>
      </c>
      <c r="BT25" s="8">
        <v>84822</v>
      </c>
      <c r="BU25" s="8">
        <v>103459</v>
      </c>
      <c r="BV25" s="8">
        <v>85063</v>
      </c>
      <c r="BW25" s="8">
        <v>78306</v>
      </c>
      <c r="BX25" s="8">
        <v>96480</v>
      </c>
      <c r="BY25" s="8">
        <v>68538</v>
      </c>
      <c r="BZ25" s="8">
        <v>112346</v>
      </c>
      <c r="CA25" s="8">
        <v>112253</v>
      </c>
      <c r="CB25" s="8">
        <v>81721</v>
      </c>
      <c r="CC25" s="8">
        <v>61162</v>
      </c>
      <c r="CD25" s="8">
        <v>84829</v>
      </c>
      <c r="CE25" s="8">
        <v>77222</v>
      </c>
      <c r="CF25" s="8">
        <v>71563</v>
      </c>
      <c r="CG25" s="8">
        <v>71489</v>
      </c>
      <c r="CH25" s="8">
        <v>86921</v>
      </c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</row>
    <row r="26" spans="1:165" x14ac:dyDescent="0.2">
      <c r="A26" s="1" t="s">
        <v>337</v>
      </c>
      <c r="B26" s="1" t="s">
        <v>338</v>
      </c>
      <c r="C26" s="1" t="s">
        <v>339</v>
      </c>
      <c r="D26" s="1" t="str">
        <f>HYPERLINK("http://eros.fiehnlab.ucdavis.edu:8080/binbase-compound/bin/show/213294?db=rtx5","213294")</f>
        <v>213294</v>
      </c>
      <c r="E26" s="1" t="s">
        <v>340</v>
      </c>
      <c r="F26" s="1" t="str">
        <f>HYPERLINK("http://www.genome.ad.jp/dbget-bin/www_bget?compound+C00065","C00065")</f>
        <v>C00065</v>
      </c>
      <c r="G26" s="1" t="str">
        <f>HYPERLINK("http://pubchem.ncbi.nlm.nih.gov/summary/summary.cgi?cid=5951","5951")</f>
        <v>5951</v>
      </c>
      <c r="H26" s="1"/>
      <c r="I26" s="8">
        <v>15893</v>
      </c>
      <c r="J26" s="8">
        <v>15886</v>
      </c>
      <c r="K26" s="8">
        <v>15058</v>
      </c>
      <c r="L26" s="8">
        <v>14098</v>
      </c>
      <c r="M26" s="8">
        <v>19958</v>
      </c>
      <c r="N26" s="8">
        <v>22137</v>
      </c>
      <c r="O26" s="8">
        <v>22311</v>
      </c>
      <c r="P26" s="8">
        <v>27658</v>
      </c>
      <c r="Q26" s="8">
        <v>26431</v>
      </c>
      <c r="R26" s="8">
        <v>26638</v>
      </c>
      <c r="S26" s="8">
        <v>25685</v>
      </c>
      <c r="T26" s="8">
        <v>22765</v>
      </c>
      <c r="U26" s="8">
        <v>22076</v>
      </c>
      <c r="V26" s="8">
        <v>23158</v>
      </c>
      <c r="W26" s="8">
        <v>22149</v>
      </c>
      <c r="X26" s="8">
        <v>26784</v>
      </c>
      <c r="Y26" s="8">
        <v>25670</v>
      </c>
      <c r="Z26" s="8">
        <v>25426</v>
      </c>
      <c r="AA26" s="8">
        <v>13755</v>
      </c>
      <c r="AB26" s="8">
        <v>16155</v>
      </c>
      <c r="AC26" s="8">
        <v>14313</v>
      </c>
      <c r="AD26" s="8">
        <v>16186</v>
      </c>
      <c r="AE26" s="8">
        <v>16167</v>
      </c>
      <c r="AF26" s="8">
        <v>14449</v>
      </c>
      <c r="AG26" s="8">
        <v>23061</v>
      </c>
      <c r="AH26" s="8">
        <v>24002</v>
      </c>
      <c r="AI26" s="8">
        <v>24590</v>
      </c>
      <c r="AJ26" s="8">
        <v>29484</v>
      </c>
      <c r="AK26" s="8">
        <v>23762</v>
      </c>
      <c r="AL26" s="8">
        <v>25674</v>
      </c>
      <c r="AM26" s="8">
        <v>24008</v>
      </c>
      <c r="AN26" s="8">
        <v>23344</v>
      </c>
      <c r="AO26" s="8">
        <v>25354</v>
      </c>
      <c r="AP26" s="8">
        <v>22920</v>
      </c>
      <c r="AQ26" s="8">
        <v>25143</v>
      </c>
      <c r="AR26" s="8">
        <v>24967</v>
      </c>
      <c r="AS26" s="8">
        <v>31439</v>
      </c>
      <c r="AT26" s="8">
        <v>31254</v>
      </c>
      <c r="AU26" s="8">
        <v>29213</v>
      </c>
      <c r="AV26" s="8">
        <v>30935</v>
      </c>
      <c r="AW26" s="8">
        <v>31438</v>
      </c>
      <c r="AX26" s="8">
        <v>32408</v>
      </c>
      <c r="AY26" s="8">
        <v>18338</v>
      </c>
      <c r="AZ26" s="8">
        <v>19407</v>
      </c>
      <c r="BA26" s="8">
        <v>22758</v>
      </c>
      <c r="BB26" s="8">
        <v>23987</v>
      </c>
      <c r="BC26" s="8">
        <v>22271</v>
      </c>
      <c r="BD26" s="8">
        <v>20212</v>
      </c>
      <c r="BE26" s="8">
        <v>29481</v>
      </c>
      <c r="BF26" s="8">
        <v>30690</v>
      </c>
      <c r="BG26" s="8">
        <v>30113</v>
      </c>
      <c r="BH26" s="8">
        <v>28819</v>
      </c>
      <c r="BI26" s="8">
        <v>35704</v>
      </c>
      <c r="BJ26" s="8">
        <v>34100</v>
      </c>
      <c r="BK26" s="8">
        <v>28129</v>
      </c>
      <c r="BL26" s="8">
        <v>24920</v>
      </c>
      <c r="BM26" s="8">
        <v>27311</v>
      </c>
      <c r="BN26" s="8">
        <v>25391</v>
      </c>
      <c r="BO26" s="8">
        <v>27957</v>
      </c>
      <c r="BP26" s="8">
        <v>27739</v>
      </c>
      <c r="BQ26" s="8">
        <v>30687</v>
      </c>
      <c r="BR26" s="8">
        <v>29165</v>
      </c>
      <c r="BS26" s="8">
        <v>29562</v>
      </c>
      <c r="BT26" s="8">
        <v>29680</v>
      </c>
      <c r="BU26" s="8">
        <v>32416</v>
      </c>
      <c r="BV26" s="8">
        <v>29586</v>
      </c>
      <c r="BW26" s="8">
        <v>30531</v>
      </c>
      <c r="BX26" s="8">
        <v>28473</v>
      </c>
      <c r="BY26" s="8">
        <v>33038</v>
      </c>
      <c r="BZ26" s="8">
        <v>30007</v>
      </c>
      <c r="CA26" s="8">
        <v>33081</v>
      </c>
      <c r="CB26" s="8">
        <v>25177</v>
      </c>
      <c r="CC26" s="8">
        <v>27101</v>
      </c>
      <c r="CD26" s="8">
        <v>44735</v>
      </c>
      <c r="CE26" s="8">
        <v>30220</v>
      </c>
      <c r="CF26" s="8">
        <v>32384</v>
      </c>
      <c r="CG26" s="8">
        <v>32685</v>
      </c>
      <c r="CH26" s="8">
        <v>36905</v>
      </c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</row>
    <row r="27" spans="1:165" x14ac:dyDescent="0.2">
      <c r="A27" s="1" t="s">
        <v>332</v>
      </c>
      <c r="B27" s="1" t="s">
        <v>333</v>
      </c>
      <c r="C27" s="1" t="s">
        <v>334</v>
      </c>
      <c r="D27" s="1" t="str">
        <f>HYPERLINK("http://eros.fiehnlab.ucdavis.edu:8080/binbase-compound/bin/show/204185?db=rtx5","204185")</f>
        <v>204185</v>
      </c>
      <c r="E27" s="1" t="s">
        <v>335</v>
      </c>
      <c r="F27" s="1" t="str">
        <f>HYPERLINK("http://www.genome.ad.jp/dbget-bin/www_bget?compound+C00794","C00794")</f>
        <v>C00794</v>
      </c>
      <c r="G27" s="1" t="str">
        <f>HYPERLINK("http://pubchem.ncbi.nlm.nih.gov/summary/summary.cgi?cid=5780","5780")</f>
        <v>5780</v>
      </c>
      <c r="H27" s="1"/>
      <c r="I27" s="8">
        <v>230677</v>
      </c>
      <c r="J27" s="8">
        <v>190010</v>
      </c>
      <c r="K27" s="8">
        <v>193366</v>
      </c>
      <c r="L27" s="8">
        <v>188304</v>
      </c>
      <c r="M27" s="8">
        <v>6421</v>
      </c>
      <c r="N27" s="8">
        <v>14580</v>
      </c>
      <c r="O27" s="8">
        <v>1007</v>
      </c>
      <c r="P27" s="8">
        <v>1520</v>
      </c>
      <c r="Q27" s="8">
        <v>626</v>
      </c>
      <c r="R27" s="8">
        <v>877</v>
      </c>
      <c r="S27" s="8">
        <v>609</v>
      </c>
      <c r="T27" s="8">
        <v>495</v>
      </c>
      <c r="U27" s="8">
        <v>1465</v>
      </c>
      <c r="V27" s="8">
        <v>1456</v>
      </c>
      <c r="W27" s="8">
        <v>1505</v>
      </c>
      <c r="X27" s="8">
        <v>844</v>
      </c>
      <c r="Y27" s="8">
        <v>629</v>
      </c>
      <c r="Z27" s="8">
        <v>632</v>
      </c>
      <c r="AA27" s="8">
        <v>1887</v>
      </c>
      <c r="AB27" s="8">
        <v>1221</v>
      </c>
      <c r="AC27" s="8">
        <v>1320</v>
      </c>
      <c r="AD27" s="8">
        <v>1275</v>
      </c>
      <c r="AE27" s="8">
        <v>1217</v>
      </c>
      <c r="AF27" s="8">
        <v>863</v>
      </c>
      <c r="AG27" s="8">
        <v>929</v>
      </c>
      <c r="AH27" s="8">
        <v>1244</v>
      </c>
      <c r="AI27" s="8">
        <v>1121</v>
      </c>
      <c r="AJ27" s="8">
        <v>1318</v>
      </c>
      <c r="AK27" s="8">
        <v>546</v>
      </c>
      <c r="AL27" s="8">
        <v>599</v>
      </c>
      <c r="AM27" s="8">
        <v>1582</v>
      </c>
      <c r="AN27" s="8">
        <v>1859</v>
      </c>
      <c r="AO27" s="8">
        <v>1265</v>
      </c>
      <c r="AP27" s="8">
        <v>1802</v>
      </c>
      <c r="AQ27" s="8">
        <v>730</v>
      </c>
      <c r="AR27" s="8">
        <v>795</v>
      </c>
      <c r="AS27" s="8">
        <v>1207</v>
      </c>
      <c r="AT27" s="8">
        <v>1291</v>
      </c>
      <c r="AU27" s="8">
        <v>1312</v>
      </c>
      <c r="AV27" s="8">
        <v>1200</v>
      </c>
      <c r="AW27" s="8">
        <v>1097</v>
      </c>
      <c r="AX27" s="8">
        <v>1752</v>
      </c>
      <c r="AY27" s="8">
        <v>691</v>
      </c>
      <c r="AZ27" s="8">
        <v>1575</v>
      </c>
      <c r="BA27" s="8">
        <v>637</v>
      </c>
      <c r="BB27" s="8">
        <v>523</v>
      </c>
      <c r="BC27" s="8">
        <v>778</v>
      </c>
      <c r="BD27" s="8">
        <v>653</v>
      </c>
      <c r="BE27" s="8">
        <v>1067</v>
      </c>
      <c r="BF27" s="8">
        <v>1101</v>
      </c>
      <c r="BG27" s="8">
        <v>877</v>
      </c>
      <c r="BH27" s="8">
        <v>1441</v>
      </c>
      <c r="BI27" s="8">
        <v>783</v>
      </c>
      <c r="BJ27" s="8">
        <v>423</v>
      </c>
      <c r="BK27" s="8">
        <v>2872</v>
      </c>
      <c r="BL27" s="8">
        <v>4856</v>
      </c>
      <c r="BM27" s="8">
        <v>3809</v>
      </c>
      <c r="BN27" s="8">
        <v>4050</v>
      </c>
      <c r="BO27" s="8">
        <v>4481</v>
      </c>
      <c r="BP27" s="8">
        <v>2544</v>
      </c>
      <c r="BQ27" s="8">
        <v>3541</v>
      </c>
      <c r="BR27" s="8">
        <v>4292</v>
      </c>
      <c r="BS27" s="8">
        <v>4037</v>
      </c>
      <c r="BT27" s="8">
        <v>3083</v>
      </c>
      <c r="BU27" s="8">
        <v>3190</v>
      </c>
      <c r="BV27" s="8">
        <v>419</v>
      </c>
      <c r="BW27" s="8">
        <v>3762</v>
      </c>
      <c r="BX27" s="8">
        <v>4592</v>
      </c>
      <c r="BY27" s="8">
        <v>4444</v>
      </c>
      <c r="BZ27" s="8">
        <v>4277</v>
      </c>
      <c r="CA27" s="8">
        <v>3035</v>
      </c>
      <c r="CB27" s="8">
        <v>719</v>
      </c>
      <c r="CC27" s="8">
        <v>3069</v>
      </c>
      <c r="CD27" s="8">
        <v>3119</v>
      </c>
      <c r="CE27" s="8">
        <v>2391</v>
      </c>
      <c r="CF27" s="8">
        <v>2549</v>
      </c>
      <c r="CG27" s="8">
        <v>3371</v>
      </c>
      <c r="CH27" s="8">
        <v>3142</v>
      </c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</row>
    <row r="28" spans="1:165" x14ac:dyDescent="0.2">
      <c r="A28" s="1" t="s">
        <v>342</v>
      </c>
      <c r="B28" s="1" t="s">
        <v>343</v>
      </c>
      <c r="C28" s="1" t="s">
        <v>344</v>
      </c>
      <c r="D28" s="1" t="str">
        <f>HYPERLINK("http://eros.fiehnlab.ucdavis.edu:8080/binbase-compound/bin/show/228532?db=rtx5","228532")</f>
        <v>228532</v>
      </c>
      <c r="E28" s="1" t="s">
        <v>345</v>
      </c>
      <c r="F28" s="1" t="str">
        <f>HYPERLINK("http://www.genome.ad.jp/dbget-bin/www_bget?compound+C06202","C06202")</f>
        <v>C06202</v>
      </c>
      <c r="G28" s="1" t="str">
        <f>HYPERLINK("http://pubchem.ncbi.nlm.nih.gov/summary/summary.cgi?cid=6998","6998")</f>
        <v>6998</v>
      </c>
      <c r="H28" s="1"/>
      <c r="I28" s="8">
        <v>545</v>
      </c>
      <c r="J28" s="8">
        <v>747</v>
      </c>
      <c r="K28" s="8">
        <v>379</v>
      </c>
      <c r="L28" s="8">
        <v>862</v>
      </c>
      <c r="M28" s="8">
        <v>809</v>
      </c>
      <c r="N28" s="8">
        <v>527</v>
      </c>
      <c r="O28" s="8">
        <v>1557</v>
      </c>
      <c r="P28" s="8">
        <v>1686</v>
      </c>
      <c r="Q28" s="8">
        <v>553</v>
      </c>
      <c r="R28" s="8">
        <v>996</v>
      </c>
      <c r="S28" s="8">
        <v>947</v>
      </c>
      <c r="T28" s="8">
        <v>1290</v>
      </c>
      <c r="U28" s="8">
        <v>1114</v>
      </c>
      <c r="V28" s="8">
        <v>1193</v>
      </c>
      <c r="W28" s="8">
        <v>663</v>
      </c>
      <c r="X28" s="8">
        <v>2240</v>
      </c>
      <c r="Y28" s="8">
        <v>1236</v>
      </c>
      <c r="Z28" s="8">
        <v>1653</v>
      </c>
      <c r="AA28" s="8">
        <v>1058</v>
      </c>
      <c r="AB28" s="8">
        <v>1650</v>
      </c>
      <c r="AC28" s="8">
        <v>984</v>
      </c>
      <c r="AD28" s="8">
        <v>1670</v>
      </c>
      <c r="AE28" s="8">
        <v>352</v>
      </c>
      <c r="AF28" s="8">
        <v>297</v>
      </c>
      <c r="AG28" s="8">
        <v>682</v>
      </c>
      <c r="AH28" s="8">
        <v>677</v>
      </c>
      <c r="AI28" s="8">
        <v>510</v>
      </c>
      <c r="AJ28" s="8">
        <v>928</v>
      </c>
      <c r="AK28" s="8">
        <v>929</v>
      </c>
      <c r="AL28" s="8">
        <v>438</v>
      </c>
      <c r="AM28" s="8">
        <v>605</v>
      </c>
      <c r="AN28" s="8">
        <v>681</v>
      </c>
      <c r="AO28" s="8">
        <v>2681</v>
      </c>
      <c r="AP28" s="8">
        <v>765</v>
      </c>
      <c r="AQ28" s="8">
        <v>306</v>
      </c>
      <c r="AR28" s="8">
        <v>301</v>
      </c>
      <c r="AS28" s="8">
        <v>1310</v>
      </c>
      <c r="AT28" s="8">
        <v>1021</v>
      </c>
      <c r="AU28" s="8">
        <v>1599</v>
      </c>
      <c r="AV28" s="8">
        <v>1290</v>
      </c>
      <c r="AW28" s="8">
        <v>1086</v>
      </c>
      <c r="AX28" s="8">
        <v>298</v>
      </c>
      <c r="AY28" s="8">
        <v>1721</v>
      </c>
      <c r="AZ28" s="8">
        <v>477</v>
      </c>
      <c r="BA28" s="8">
        <v>1772</v>
      </c>
      <c r="BB28" s="8">
        <v>2674</v>
      </c>
      <c r="BC28" s="8">
        <v>1789</v>
      </c>
      <c r="BD28" s="8">
        <v>481</v>
      </c>
      <c r="BE28" s="8">
        <v>1243</v>
      </c>
      <c r="BF28" s="8">
        <v>1007</v>
      </c>
      <c r="BG28" s="8">
        <v>1195</v>
      </c>
      <c r="BH28" s="8">
        <v>414</v>
      </c>
      <c r="BI28" s="8">
        <v>1187</v>
      </c>
      <c r="BJ28" s="8">
        <v>948</v>
      </c>
      <c r="BK28" s="8">
        <v>1619</v>
      </c>
      <c r="BL28" s="8">
        <v>2106</v>
      </c>
      <c r="BM28" s="8">
        <v>1930</v>
      </c>
      <c r="BN28" s="8">
        <v>531</v>
      </c>
      <c r="BO28" s="8">
        <v>1319</v>
      </c>
      <c r="BP28" s="8">
        <v>1323</v>
      </c>
      <c r="BQ28" s="8">
        <v>1297</v>
      </c>
      <c r="BR28" s="8">
        <v>1928</v>
      </c>
      <c r="BS28" s="8">
        <v>1189</v>
      </c>
      <c r="BT28" s="8">
        <v>1056</v>
      </c>
      <c r="BU28" s="8">
        <v>2048</v>
      </c>
      <c r="BV28" s="8">
        <v>435</v>
      </c>
      <c r="BW28" s="8">
        <v>735</v>
      </c>
      <c r="BX28" s="8">
        <v>1758</v>
      </c>
      <c r="BY28" s="8">
        <v>427</v>
      </c>
      <c r="BZ28" s="8">
        <v>1344</v>
      </c>
      <c r="CA28" s="8">
        <v>2342</v>
      </c>
      <c r="CB28" s="8">
        <v>1697</v>
      </c>
      <c r="CC28" s="8">
        <v>352</v>
      </c>
      <c r="CD28" s="8">
        <v>700</v>
      </c>
      <c r="CE28" s="8">
        <v>1909</v>
      </c>
      <c r="CF28" s="8">
        <v>1265</v>
      </c>
      <c r="CG28" s="8">
        <v>530</v>
      </c>
      <c r="CH28" s="8">
        <v>671</v>
      </c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</row>
    <row r="29" spans="1:165" x14ac:dyDescent="0.2">
      <c r="A29" s="1" t="s">
        <v>347</v>
      </c>
      <c r="B29" s="1" t="s">
        <v>348</v>
      </c>
      <c r="C29" s="1" t="s">
        <v>349</v>
      </c>
      <c r="D29" s="1" t="str">
        <f>HYPERLINK("http://eros.fiehnlab.ucdavis.edu:8080/binbase-compound/bin/show/199940?db=rtx5","199940")</f>
        <v>199940</v>
      </c>
      <c r="E29" s="1" t="s">
        <v>350</v>
      </c>
      <c r="F29" s="1" t="str">
        <f>HYPERLINK("http://www.genome.ad.jp/dbget-bin/www_bget?compound+C00199","C00199")</f>
        <v>C00199</v>
      </c>
      <c r="G29" s="1" t="str">
        <f>HYPERLINK("http://pubchem.ncbi.nlm.nih.gov/summary/summary.cgi?cid=439184","439184")</f>
        <v>439184</v>
      </c>
      <c r="H29" s="1"/>
      <c r="I29" s="8">
        <v>448</v>
      </c>
      <c r="J29" s="8">
        <v>404</v>
      </c>
      <c r="K29" s="8">
        <v>461</v>
      </c>
      <c r="L29" s="8">
        <v>388</v>
      </c>
      <c r="M29" s="8">
        <v>332</v>
      </c>
      <c r="N29" s="8">
        <v>254</v>
      </c>
      <c r="O29" s="8">
        <v>123</v>
      </c>
      <c r="P29" s="8">
        <v>155</v>
      </c>
      <c r="Q29" s="8">
        <v>146</v>
      </c>
      <c r="R29" s="8">
        <v>119</v>
      </c>
      <c r="S29" s="8">
        <v>154</v>
      </c>
      <c r="T29" s="8">
        <v>143</v>
      </c>
      <c r="U29" s="8">
        <v>229</v>
      </c>
      <c r="V29" s="8">
        <v>158</v>
      </c>
      <c r="W29" s="8">
        <v>96</v>
      </c>
      <c r="X29" s="8">
        <v>129</v>
      </c>
      <c r="Y29" s="8">
        <v>116</v>
      </c>
      <c r="Z29" s="8">
        <v>106</v>
      </c>
      <c r="AA29" s="8">
        <v>123</v>
      </c>
      <c r="AB29" s="8">
        <v>177</v>
      </c>
      <c r="AC29" s="8">
        <v>141</v>
      </c>
      <c r="AD29" s="8">
        <v>159</v>
      </c>
      <c r="AE29" s="8">
        <v>123</v>
      </c>
      <c r="AF29" s="8">
        <v>80</v>
      </c>
      <c r="AG29" s="8">
        <v>172</v>
      </c>
      <c r="AH29" s="8">
        <v>153</v>
      </c>
      <c r="AI29" s="8">
        <v>111</v>
      </c>
      <c r="AJ29" s="8">
        <v>200</v>
      </c>
      <c r="AK29" s="8">
        <v>75</v>
      </c>
      <c r="AL29" s="8">
        <v>104</v>
      </c>
      <c r="AM29" s="8">
        <v>171</v>
      </c>
      <c r="AN29" s="8">
        <v>146</v>
      </c>
      <c r="AO29" s="8">
        <v>144</v>
      </c>
      <c r="AP29" s="8">
        <v>110</v>
      </c>
      <c r="AQ29" s="8">
        <v>107</v>
      </c>
      <c r="AR29" s="8">
        <v>92</v>
      </c>
      <c r="AS29" s="8">
        <v>201</v>
      </c>
      <c r="AT29" s="8">
        <v>157</v>
      </c>
      <c r="AU29" s="8">
        <v>140</v>
      </c>
      <c r="AV29" s="8">
        <v>103</v>
      </c>
      <c r="AW29" s="8">
        <v>104</v>
      </c>
      <c r="AX29" s="8">
        <v>127</v>
      </c>
      <c r="AY29" s="8">
        <v>135</v>
      </c>
      <c r="AZ29" s="8">
        <v>97</v>
      </c>
      <c r="BA29" s="8">
        <v>79</v>
      </c>
      <c r="BB29" s="8">
        <v>91</v>
      </c>
      <c r="BC29" s="8">
        <v>91</v>
      </c>
      <c r="BD29" s="8">
        <v>107</v>
      </c>
      <c r="BE29" s="8">
        <v>242</v>
      </c>
      <c r="BF29" s="8">
        <v>167</v>
      </c>
      <c r="BG29" s="8">
        <v>139</v>
      </c>
      <c r="BH29" s="8">
        <v>110</v>
      </c>
      <c r="BI29" s="8">
        <v>145</v>
      </c>
      <c r="BJ29" s="8">
        <v>145</v>
      </c>
      <c r="BK29" s="8">
        <v>140</v>
      </c>
      <c r="BL29" s="8">
        <v>189</v>
      </c>
      <c r="BM29" s="8">
        <v>193</v>
      </c>
      <c r="BN29" s="8">
        <v>95</v>
      </c>
      <c r="BO29" s="8">
        <v>126</v>
      </c>
      <c r="BP29" s="8">
        <v>123</v>
      </c>
      <c r="BQ29" s="8">
        <v>194</v>
      </c>
      <c r="BR29" s="8">
        <v>139</v>
      </c>
      <c r="BS29" s="8">
        <v>179</v>
      </c>
      <c r="BT29" s="8">
        <v>109</v>
      </c>
      <c r="BU29" s="8">
        <v>128</v>
      </c>
      <c r="BV29" s="8">
        <v>154</v>
      </c>
      <c r="BW29" s="8">
        <v>106</v>
      </c>
      <c r="BX29" s="8">
        <v>122</v>
      </c>
      <c r="BY29" s="8">
        <v>90</v>
      </c>
      <c r="BZ29" s="8">
        <v>90</v>
      </c>
      <c r="CA29" s="8">
        <v>115</v>
      </c>
      <c r="CB29" s="8">
        <v>84</v>
      </c>
      <c r="CC29" s="8">
        <v>135</v>
      </c>
      <c r="CD29" s="8">
        <v>183</v>
      </c>
      <c r="CE29" s="8">
        <v>153</v>
      </c>
      <c r="CF29" s="8">
        <v>123</v>
      </c>
      <c r="CG29" s="8">
        <v>183</v>
      </c>
      <c r="CH29" s="8">
        <v>135</v>
      </c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9"/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</row>
    <row r="30" spans="1:165" x14ac:dyDescent="0.2">
      <c r="A30" s="1" t="s">
        <v>351</v>
      </c>
      <c r="B30" s="1" t="s">
        <v>352</v>
      </c>
      <c r="C30" s="1" t="s">
        <v>273</v>
      </c>
      <c r="D30" s="1" t="str">
        <f>HYPERLINK("http://eros.fiehnlab.ucdavis.edu:8080/binbase-compound/bin/show/203258?db=rtx5","203258")</f>
        <v>203258</v>
      </c>
      <c r="E30" s="1" t="s">
        <v>353</v>
      </c>
      <c r="F30" s="1" t="str">
        <f>HYPERLINK("http://www.genome.ad.jp/dbget-bin/www_bget?compound+C00117","C00117")</f>
        <v>C00117</v>
      </c>
      <c r="G30" s="1" t="str">
        <f>HYPERLINK("http://pubchem.ncbi.nlm.nih.gov/summary/summary.cgi?cid=77982","77982")</f>
        <v>77982</v>
      </c>
      <c r="H30" s="1"/>
      <c r="I30" s="8">
        <v>407</v>
      </c>
      <c r="J30" s="8">
        <v>283</v>
      </c>
      <c r="K30" s="8">
        <v>650</v>
      </c>
      <c r="L30" s="8">
        <v>356</v>
      </c>
      <c r="M30" s="8">
        <v>181</v>
      </c>
      <c r="N30" s="8">
        <v>216</v>
      </c>
      <c r="O30" s="8">
        <v>420</v>
      </c>
      <c r="P30" s="8">
        <v>600</v>
      </c>
      <c r="Q30" s="8">
        <v>346</v>
      </c>
      <c r="R30" s="8">
        <v>517</v>
      </c>
      <c r="S30" s="8">
        <v>333</v>
      </c>
      <c r="T30" s="8">
        <v>409</v>
      </c>
      <c r="U30" s="8">
        <v>296</v>
      </c>
      <c r="V30" s="8">
        <v>362</v>
      </c>
      <c r="W30" s="8">
        <v>302</v>
      </c>
      <c r="X30" s="8">
        <v>253</v>
      </c>
      <c r="Y30" s="8">
        <v>289</v>
      </c>
      <c r="Z30" s="8">
        <v>322</v>
      </c>
      <c r="AA30" s="8">
        <v>336</v>
      </c>
      <c r="AB30" s="8">
        <v>332</v>
      </c>
      <c r="AC30" s="8">
        <v>410</v>
      </c>
      <c r="AD30" s="8">
        <v>506</v>
      </c>
      <c r="AE30" s="8">
        <v>342</v>
      </c>
      <c r="AF30" s="8">
        <v>291</v>
      </c>
      <c r="AG30" s="8">
        <v>147</v>
      </c>
      <c r="AH30" s="8">
        <v>405</v>
      </c>
      <c r="AI30" s="8">
        <v>439</v>
      </c>
      <c r="AJ30" s="8">
        <v>364</v>
      </c>
      <c r="AK30" s="8">
        <v>468</v>
      </c>
      <c r="AL30" s="8">
        <v>371</v>
      </c>
      <c r="AM30" s="8">
        <v>336</v>
      </c>
      <c r="AN30" s="8">
        <v>268</v>
      </c>
      <c r="AO30" s="8">
        <v>529</v>
      </c>
      <c r="AP30" s="8">
        <v>379</v>
      </c>
      <c r="AQ30" s="8">
        <v>223</v>
      </c>
      <c r="AR30" s="8">
        <v>331</v>
      </c>
      <c r="AS30" s="8">
        <v>267</v>
      </c>
      <c r="AT30" s="8">
        <v>312</v>
      </c>
      <c r="AU30" s="8">
        <v>190</v>
      </c>
      <c r="AV30" s="8">
        <v>208</v>
      </c>
      <c r="AW30" s="8">
        <v>210</v>
      </c>
      <c r="AX30" s="8">
        <v>279</v>
      </c>
      <c r="AY30" s="8">
        <v>162</v>
      </c>
      <c r="AZ30" s="8">
        <v>202</v>
      </c>
      <c r="BA30" s="8">
        <v>362</v>
      </c>
      <c r="BB30" s="8">
        <v>193</v>
      </c>
      <c r="BC30" s="8">
        <v>277</v>
      </c>
      <c r="BD30" s="8">
        <v>202</v>
      </c>
      <c r="BE30" s="8">
        <v>499</v>
      </c>
      <c r="BF30" s="8">
        <v>326</v>
      </c>
      <c r="BG30" s="8">
        <v>248</v>
      </c>
      <c r="BH30" s="8">
        <v>329</v>
      </c>
      <c r="BI30" s="8">
        <v>307</v>
      </c>
      <c r="BJ30" s="8">
        <v>292</v>
      </c>
      <c r="BK30" s="8">
        <v>303</v>
      </c>
      <c r="BL30" s="8">
        <v>433</v>
      </c>
      <c r="BM30" s="8">
        <v>538</v>
      </c>
      <c r="BN30" s="8">
        <v>232</v>
      </c>
      <c r="BO30" s="8">
        <v>442</v>
      </c>
      <c r="BP30" s="8">
        <v>454</v>
      </c>
      <c r="BQ30" s="8">
        <v>291</v>
      </c>
      <c r="BR30" s="8">
        <v>331</v>
      </c>
      <c r="BS30" s="8">
        <v>269</v>
      </c>
      <c r="BT30" s="8">
        <v>218</v>
      </c>
      <c r="BU30" s="8">
        <v>281</v>
      </c>
      <c r="BV30" s="8">
        <v>213</v>
      </c>
      <c r="BW30" s="8">
        <v>234</v>
      </c>
      <c r="BX30" s="8">
        <v>202</v>
      </c>
      <c r="BY30" s="8">
        <v>396</v>
      </c>
      <c r="BZ30" s="8">
        <v>366</v>
      </c>
      <c r="CA30" s="8">
        <v>259</v>
      </c>
      <c r="CB30" s="8">
        <v>233</v>
      </c>
      <c r="CC30" s="8">
        <v>249</v>
      </c>
      <c r="CD30" s="8">
        <v>400</v>
      </c>
      <c r="CE30" s="8">
        <v>269</v>
      </c>
      <c r="CF30" s="8">
        <v>229</v>
      </c>
      <c r="CG30" s="8">
        <v>377</v>
      </c>
      <c r="CH30" s="8">
        <v>217</v>
      </c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</row>
    <row r="31" spans="1:165" x14ac:dyDescent="0.2">
      <c r="A31" s="1" t="s">
        <v>354</v>
      </c>
      <c r="B31" s="1" t="s">
        <v>355</v>
      </c>
      <c r="C31" s="1" t="s">
        <v>317</v>
      </c>
      <c r="D31" s="1" t="str">
        <f>HYPERLINK("http://eros.fiehnlab.ucdavis.edu:8080/binbase-compound/bin/show/205473?db=rtx5","205473")</f>
        <v>205473</v>
      </c>
      <c r="E31" s="1" t="s">
        <v>356</v>
      </c>
      <c r="F31" s="1" t="str">
        <f>HYPERLINK("http://www.genome.ad.jp/dbget-bin/www_bget?compound+C00121","C00121")</f>
        <v>C00121</v>
      </c>
      <c r="G31" s="1" t="str">
        <f>HYPERLINK("http://pubchem.ncbi.nlm.nih.gov/summary/summary.cgi?cid=5779","5779")</f>
        <v>5779</v>
      </c>
      <c r="H31" s="1"/>
      <c r="I31" s="8">
        <v>32</v>
      </c>
      <c r="J31" s="8">
        <v>184</v>
      </c>
      <c r="K31" s="8">
        <v>208</v>
      </c>
      <c r="L31" s="8">
        <v>55</v>
      </c>
      <c r="M31" s="8">
        <v>141</v>
      </c>
      <c r="N31" s="8">
        <v>172</v>
      </c>
      <c r="O31" s="8">
        <v>106</v>
      </c>
      <c r="P31" s="8">
        <v>81</v>
      </c>
      <c r="Q31" s="8">
        <v>119</v>
      </c>
      <c r="R31" s="8">
        <v>134</v>
      </c>
      <c r="S31" s="8">
        <v>103</v>
      </c>
      <c r="T31" s="8">
        <v>137</v>
      </c>
      <c r="U31" s="8">
        <v>99</v>
      </c>
      <c r="V31" s="8">
        <v>107</v>
      </c>
      <c r="W31" s="8">
        <v>98</v>
      </c>
      <c r="X31" s="8">
        <v>146</v>
      </c>
      <c r="Y31" s="8">
        <v>90</v>
      </c>
      <c r="Z31" s="8">
        <v>143</v>
      </c>
      <c r="AA31" s="8">
        <v>67</v>
      </c>
      <c r="AB31" s="8">
        <v>92</v>
      </c>
      <c r="AC31" s="8">
        <v>102</v>
      </c>
      <c r="AD31" s="8">
        <v>84</v>
      </c>
      <c r="AE31" s="8">
        <v>76</v>
      </c>
      <c r="AF31" s="8">
        <v>53</v>
      </c>
      <c r="AG31" s="8">
        <v>99</v>
      </c>
      <c r="AH31" s="8">
        <v>99</v>
      </c>
      <c r="AI31" s="8">
        <v>104</v>
      </c>
      <c r="AJ31" s="8">
        <v>163</v>
      </c>
      <c r="AK31" s="8">
        <v>112</v>
      </c>
      <c r="AL31" s="8">
        <v>246</v>
      </c>
      <c r="AM31" s="8">
        <v>174</v>
      </c>
      <c r="AN31" s="8">
        <v>102</v>
      </c>
      <c r="AO31" s="8">
        <v>104</v>
      </c>
      <c r="AP31" s="8">
        <v>144</v>
      </c>
      <c r="AQ31" s="8">
        <v>95</v>
      </c>
      <c r="AR31" s="8">
        <v>70</v>
      </c>
      <c r="AS31" s="8">
        <v>102</v>
      </c>
      <c r="AT31" s="8">
        <v>97</v>
      </c>
      <c r="AU31" s="8">
        <v>148</v>
      </c>
      <c r="AV31" s="8">
        <v>102</v>
      </c>
      <c r="AW31" s="8">
        <v>110</v>
      </c>
      <c r="AX31" s="8">
        <v>90</v>
      </c>
      <c r="AY31" s="8">
        <v>139</v>
      </c>
      <c r="AZ31" s="8">
        <v>113</v>
      </c>
      <c r="BA31" s="8">
        <v>86</v>
      </c>
      <c r="BB31" s="8">
        <v>103</v>
      </c>
      <c r="BC31" s="8">
        <v>113</v>
      </c>
      <c r="BD31" s="8">
        <v>107</v>
      </c>
      <c r="BE31" s="8">
        <v>147</v>
      </c>
      <c r="BF31" s="8">
        <v>98</v>
      </c>
      <c r="BG31" s="8">
        <v>107</v>
      </c>
      <c r="BH31" s="8">
        <v>93</v>
      </c>
      <c r="BI31" s="8">
        <v>102</v>
      </c>
      <c r="BJ31" s="8">
        <v>109</v>
      </c>
      <c r="BK31" s="8">
        <v>88</v>
      </c>
      <c r="BL31" s="8">
        <v>116</v>
      </c>
      <c r="BM31" s="8">
        <v>101</v>
      </c>
      <c r="BN31" s="8">
        <v>92</v>
      </c>
      <c r="BO31" s="8">
        <v>102</v>
      </c>
      <c r="BP31" s="8">
        <v>143</v>
      </c>
      <c r="BQ31" s="8">
        <v>84</v>
      </c>
      <c r="BR31" s="8">
        <v>115</v>
      </c>
      <c r="BS31" s="8">
        <v>78</v>
      </c>
      <c r="BT31" s="8">
        <v>275</v>
      </c>
      <c r="BU31" s="8">
        <v>11</v>
      </c>
      <c r="BV31" s="8">
        <v>613</v>
      </c>
      <c r="BW31" s="8">
        <v>83</v>
      </c>
      <c r="BX31" s="8">
        <v>92</v>
      </c>
      <c r="BY31" s="8">
        <v>92</v>
      </c>
      <c r="BZ31" s="8">
        <v>101</v>
      </c>
      <c r="CA31" s="8">
        <v>238</v>
      </c>
      <c r="CB31" s="8">
        <v>197</v>
      </c>
      <c r="CC31" s="8">
        <v>88</v>
      </c>
      <c r="CD31" s="8">
        <v>116</v>
      </c>
      <c r="CE31" s="8">
        <v>88</v>
      </c>
      <c r="CF31" s="8">
        <v>85</v>
      </c>
      <c r="CG31" s="8">
        <v>98</v>
      </c>
      <c r="CH31" s="8">
        <v>403</v>
      </c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</row>
    <row r="32" spans="1:165" x14ac:dyDescent="0.2">
      <c r="A32" s="1" t="s">
        <v>357</v>
      </c>
      <c r="B32" s="1" t="s">
        <v>358</v>
      </c>
      <c r="C32" s="1" t="s">
        <v>359</v>
      </c>
      <c r="D32" s="1" t="str">
        <f>HYPERLINK("http://eros.fiehnlab.ucdavis.edu:8080/binbase-compound/bin/show/322007?db=rtx5","322007")</f>
        <v>322007</v>
      </c>
      <c r="E32" s="1" t="s">
        <v>360</v>
      </c>
      <c r="F32" s="1" t="str">
        <f>HYPERLINK("http://www.genome.ad.jp/dbget-bin/www_bget?compound+C00474","C00474")</f>
        <v>C00474</v>
      </c>
      <c r="G32" s="1" t="str">
        <f>HYPERLINK("http://pubchem.ncbi.nlm.nih.gov/summary/summary.cgi?cid=827","827")</f>
        <v>827</v>
      </c>
      <c r="H32" s="1"/>
      <c r="I32" s="8">
        <v>1095</v>
      </c>
      <c r="J32" s="8">
        <v>1112</v>
      </c>
      <c r="K32" s="8">
        <v>1010</v>
      </c>
      <c r="L32" s="8">
        <v>998</v>
      </c>
      <c r="M32" s="8">
        <v>1096</v>
      </c>
      <c r="N32" s="8">
        <v>1315</v>
      </c>
      <c r="O32" s="8">
        <v>173</v>
      </c>
      <c r="P32" s="8">
        <v>177</v>
      </c>
      <c r="Q32" s="8">
        <v>190</v>
      </c>
      <c r="R32" s="8">
        <v>204</v>
      </c>
      <c r="S32" s="8">
        <v>177</v>
      </c>
      <c r="T32" s="8">
        <v>175</v>
      </c>
      <c r="U32" s="8">
        <v>189</v>
      </c>
      <c r="V32" s="8">
        <v>155</v>
      </c>
      <c r="W32" s="8">
        <v>160</v>
      </c>
      <c r="X32" s="8">
        <v>187</v>
      </c>
      <c r="Y32" s="8">
        <v>156</v>
      </c>
      <c r="Z32" s="8">
        <v>157</v>
      </c>
      <c r="AA32" s="8">
        <v>137</v>
      </c>
      <c r="AB32" s="8">
        <v>177</v>
      </c>
      <c r="AC32" s="8">
        <v>214</v>
      </c>
      <c r="AD32" s="8">
        <v>206</v>
      </c>
      <c r="AE32" s="8">
        <v>221</v>
      </c>
      <c r="AF32" s="8">
        <v>144</v>
      </c>
      <c r="AG32" s="8">
        <v>145</v>
      </c>
      <c r="AH32" s="8">
        <v>165</v>
      </c>
      <c r="AI32" s="8">
        <v>173</v>
      </c>
      <c r="AJ32" s="8">
        <v>252</v>
      </c>
      <c r="AK32" s="8">
        <v>23</v>
      </c>
      <c r="AL32" s="8">
        <v>179</v>
      </c>
      <c r="AM32" s="8">
        <v>146</v>
      </c>
      <c r="AN32" s="8">
        <v>133</v>
      </c>
      <c r="AO32" s="8">
        <v>144</v>
      </c>
      <c r="AP32" s="8">
        <v>138</v>
      </c>
      <c r="AQ32" s="8">
        <v>159</v>
      </c>
      <c r="AR32" s="8">
        <v>102</v>
      </c>
      <c r="AS32" s="8">
        <v>187</v>
      </c>
      <c r="AT32" s="8">
        <v>161</v>
      </c>
      <c r="AU32" s="8">
        <v>203</v>
      </c>
      <c r="AV32" s="8">
        <v>140</v>
      </c>
      <c r="AW32" s="8">
        <v>161</v>
      </c>
      <c r="AX32" s="8">
        <v>100</v>
      </c>
      <c r="AY32" s="8">
        <v>126</v>
      </c>
      <c r="AZ32" s="8">
        <v>124</v>
      </c>
      <c r="BA32" s="8">
        <v>158</v>
      </c>
      <c r="BB32" s="8">
        <v>142</v>
      </c>
      <c r="BC32" s="8">
        <v>107</v>
      </c>
      <c r="BD32" s="8">
        <v>142</v>
      </c>
      <c r="BE32" s="8">
        <v>188</v>
      </c>
      <c r="BF32" s="8">
        <v>208</v>
      </c>
      <c r="BG32" s="8">
        <v>186</v>
      </c>
      <c r="BH32" s="8">
        <v>172</v>
      </c>
      <c r="BI32" s="8">
        <v>206</v>
      </c>
      <c r="BJ32" s="8">
        <v>162</v>
      </c>
      <c r="BK32" s="8">
        <v>164</v>
      </c>
      <c r="BL32" s="8">
        <v>178</v>
      </c>
      <c r="BM32" s="8">
        <v>180</v>
      </c>
      <c r="BN32" s="8">
        <v>174</v>
      </c>
      <c r="BO32" s="8">
        <v>183</v>
      </c>
      <c r="BP32" s="8">
        <v>149</v>
      </c>
      <c r="BQ32" s="8">
        <v>197</v>
      </c>
      <c r="BR32" s="8">
        <v>204</v>
      </c>
      <c r="BS32" s="8">
        <v>186</v>
      </c>
      <c r="BT32" s="8">
        <v>161</v>
      </c>
      <c r="BU32" s="8">
        <v>142</v>
      </c>
      <c r="BV32" s="8">
        <v>179</v>
      </c>
      <c r="BW32" s="8">
        <v>168</v>
      </c>
      <c r="BX32" s="8">
        <v>138</v>
      </c>
      <c r="BY32" s="8">
        <v>148</v>
      </c>
      <c r="BZ32" s="8">
        <v>155</v>
      </c>
      <c r="CA32" s="8">
        <v>140</v>
      </c>
      <c r="CB32" s="8">
        <v>140</v>
      </c>
      <c r="CC32" s="8">
        <v>188</v>
      </c>
      <c r="CD32" s="8">
        <v>164</v>
      </c>
      <c r="CE32" s="8">
        <v>182</v>
      </c>
      <c r="CF32" s="8">
        <v>148</v>
      </c>
      <c r="CG32" s="8">
        <v>132</v>
      </c>
      <c r="CH32" s="8">
        <v>202</v>
      </c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9"/>
      <c r="EZ32" s="9"/>
      <c r="FA32" s="9"/>
      <c r="FB32" s="9"/>
      <c r="FC32" s="9"/>
      <c r="FD32" s="9"/>
      <c r="FE32" s="9"/>
      <c r="FF32" s="9"/>
      <c r="FG32" s="9"/>
      <c r="FH32" s="9"/>
      <c r="FI32" s="9"/>
    </row>
    <row r="33" spans="1:165" x14ac:dyDescent="0.2">
      <c r="A33" s="1" t="s">
        <v>1424</v>
      </c>
      <c r="B33" s="1" t="s">
        <v>361</v>
      </c>
      <c r="C33" s="1" t="s">
        <v>362</v>
      </c>
      <c r="D33" s="1" t="str">
        <f>HYPERLINK("http://eros.fiehnlab.ucdavis.edu:8080/binbase-compound/bin/show/200341?db=rtx5","200341")</f>
        <v>200341</v>
      </c>
      <c r="E33" s="1" t="s">
        <v>363</v>
      </c>
      <c r="F33" s="1" t="str">
        <f>HYPERLINK("http://www.genome.ad.jp/dbget-bin/www_bget?compound+C00013","C00013")</f>
        <v>C00013</v>
      </c>
      <c r="G33" s="1" t="str">
        <f>HYPERLINK("http://pubchem.ncbi.nlm.nih.gov/summary/summary.cgi?cid=1023","1023")</f>
        <v>1023</v>
      </c>
      <c r="H33" s="1"/>
      <c r="I33" s="8">
        <v>140394</v>
      </c>
      <c r="J33" s="8">
        <v>222047</v>
      </c>
      <c r="K33" s="8">
        <v>198543</v>
      </c>
      <c r="L33" s="8">
        <v>199948</v>
      </c>
      <c r="M33" s="8">
        <v>232891</v>
      </c>
      <c r="N33" s="8">
        <v>228195</v>
      </c>
      <c r="O33" s="8">
        <v>90857</v>
      </c>
      <c r="P33" s="8">
        <v>121590</v>
      </c>
      <c r="Q33" s="8">
        <v>112713</v>
      </c>
      <c r="R33" s="8">
        <v>128678</v>
      </c>
      <c r="S33" s="8">
        <v>98924</v>
      </c>
      <c r="T33" s="8">
        <v>85335</v>
      </c>
      <c r="U33" s="8">
        <v>142315</v>
      </c>
      <c r="V33" s="8">
        <v>92509</v>
      </c>
      <c r="W33" s="8">
        <v>86655</v>
      </c>
      <c r="X33" s="8">
        <v>89592</v>
      </c>
      <c r="Y33" s="8">
        <v>110045</v>
      </c>
      <c r="Z33" s="8">
        <v>113358</v>
      </c>
      <c r="AA33" s="8">
        <v>26538</v>
      </c>
      <c r="AB33" s="8">
        <v>115628</v>
      </c>
      <c r="AC33" s="8">
        <v>130264</v>
      </c>
      <c r="AD33" s="8">
        <v>113652</v>
      </c>
      <c r="AE33" s="8">
        <v>76003</v>
      </c>
      <c r="AF33" s="8">
        <v>58305</v>
      </c>
      <c r="AG33" s="8">
        <v>85560</v>
      </c>
      <c r="AH33" s="8">
        <v>117666</v>
      </c>
      <c r="AI33" s="8">
        <v>123445</v>
      </c>
      <c r="AJ33" s="8">
        <v>84402</v>
      </c>
      <c r="AK33" s="8">
        <v>105068</v>
      </c>
      <c r="AL33" s="8">
        <v>122327</v>
      </c>
      <c r="AM33" s="8">
        <v>86267</v>
      </c>
      <c r="AN33" s="8">
        <v>84314</v>
      </c>
      <c r="AO33" s="8">
        <v>125320</v>
      </c>
      <c r="AP33" s="8">
        <v>72053</v>
      </c>
      <c r="AQ33" s="8">
        <v>89582</v>
      </c>
      <c r="AR33" s="8">
        <v>84171</v>
      </c>
      <c r="AS33" s="8">
        <v>68575</v>
      </c>
      <c r="AT33" s="8">
        <v>104630</v>
      </c>
      <c r="AU33" s="8">
        <v>92501</v>
      </c>
      <c r="AV33" s="8">
        <v>83521</v>
      </c>
      <c r="AW33" s="8">
        <v>50091</v>
      </c>
      <c r="AX33" s="8">
        <v>92636</v>
      </c>
      <c r="AY33" s="8">
        <v>79111</v>
      </c>
      <c r="AZ33" s="8">
        <v>41269</v>
      </c>
      <c r="BA33" s="8">
        <v>51256</v>
      </c>
      <c r="BB33" s="8">
        <v>70951</v>
      </c>
      <c r="BC33" s="8">
        <v>74927</v>
      </c>
      <c r="BD33" s="8">
        <v>77335</v>
      </c>
      <c r="BE33" s="8">
        <v>118837</v>
      </c>
      <c r="BF33" s="8">
        <v>153400</v>
      </c>
      <c r="BG33" s="8">
        <v>144531</v>
      </c>
      <c r="BH33" s="8">
        <v>95705</v>
      </c>
      <c r="BI33" s="8">
        <v>115027</v>
      </c>
      <c r="BJ33" s="8">
        <v>142101</v>
      </c>
      <c r="BK33" s="8">
        <v>117748</v>
      </c>
      <c r="BL33" s="8">
        <v>120152</v>
      </c>
      <c r="BM33" s="8">
        <v>122346</v>
      </c>
      <c r="BN33" s="8">
        <v>54491</v>
      </c>
      <c r="BO33" s="8">
        <v>57567</v>
      </c>
      <c r="BP33" s="8">
        <v>110004</v>
      </c>
      <c r="BQ33" s="8">
        <v>76870</v>
      </c>
      <c r="BR33" s="8">
        <v>82909</v>
      </c>
      <c r="BS33" s="8">
        <v>116518</v>
      </c>
      <c r="BT33" s="8">
        <v>110542</v>
      </c>
      <c r="BU33" s="8">
        <v>90201</v>
      </c>
      <c r="BV33" s="8">
        <v>111846</v>
      </c>
      <c r="BW33" s="8">
        <v>80537</v>
      </c>
      <c r="BX33" s="8">
        <v>117847</v>
      </c>
      <c r="BY33" s="8">
        <v>112257</v>
      </c>
      <c r="BZ33" s="8">
        <v>66196</v>
      </c>
      <c r="CA33" s="8">
        <v>108607</v>
      </c>
      <c r="CB33" s="8">
        <v>96937</v>
      </c>
      <c r="CC33" s="8">
        <v>101021</v>
      </c>
      <c r="CD33" s="8">
        <v>81494</v>
      </c>
      <c r="CE33" s="8">
        <v>132053</v>
      </c>
      <c r="CF33" s="8">
        <v>123886</v>
      </c>
      <c r="CG33" s="8">
        <v>99843</v>
      </c>
      <c r="CH33" s="8">
        <v>135357</v>
      </c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</row>
    <row r="34" spans="1:165" x14ac:dyDescent="0.2">
      <c r="A34" s="1" t="s">
        <v>364</v>
      </c>
      <c r="B34" s="1" t="s">
        <v>365</v>
      </c>
      <c r="C34" s="1" t="s">
        <v>366</v>
      </c>
      <c r="D34" s="1" t="str">
        <f>HYPERLINK("http://eros.fiehnlab.ucdavis.edu:8080/binbase-compound/bin/show/203238?db=rtx5","203238")</f>
        <v>203238</v>
      </c>
      <c r="E34" s="1" t="s">
        <v>367</v>
      </c>
      <c r="F34" s="1" t="str">
        <f>HYPERLINK("http://www.genome.ad.jp/dbget-bin/www_bget?compound+n/a","n/a")</f>
        <v>n/a</v>
      </c>
      <c r="G34" s="1" t="str">
        <f>HYPERLINK("http://pubchem.ncbi.nlm.nih.gov/summary/summary.cgi?cid=15532987","15532987")</f>
        <v>15532987</v>
      </c>
      <c r="H34" s="1"/>
      <c r="I34" s="8">
        <v>2517</v>
      </c>
      <c r="J34" s="8">
        <v>2687</v>
      </c>
      <c r="K34" s="8">
        <v>1474</v>
      </c>
      <c r="L34" s="8">
        <v>783</v>
      </c>
      <c r="M34" s="8">
        <v>2988</v>
      </c>
      <c r="N34" s="8">
        <v>1791</v>
      </c>
      <c r="O34" s="8">
        <v>1997</v>
      </c>
      <c r="P34" s="8">
        <v>2191</v>
      </c>
      <c r="Q34" s="8">
        <v>3278</v>
      </c>
      <c r="R34" s="8">
        <v>3665</v>
      </c>
      <c r="S34" s="8">
        <v>1943</v>
      </c>
      <c r="T34" s="8">
        <v>976</v>
      </c>
      <c r="U34" s="8">
        <v>2845</v>
      </c>
      <c r="V34" s="8">
        <v>2061</v>
      </c>
      <c r="W34" s="8">
        <v>4787</v>
      </c>
      <c r="X34" s="8">
        <v>3256</v>
      </c>
      <c r="Y34" s="8">
        <v>1969</v>
      </c>
      <c r="Z34" s="8">
        <v>2457</v>
      </c>
      <c r="AA34" s="8">
        <v>1418</v>
      </c>
      <c r="AB34" s="8">
        <v>2129</v>
      </c>
      <c r="AC34" s="8">
        <v>3054</v>
      </c>
      <c r="AD34" s="8">
        <v>981</v>
      </c>
      <c r="AE34" s="8">
        <v>3839</v>
      </c>
      <c r="AF34" s="8">
        <v>1468</v>
      </c>
      <c r="AG34" s="8">
        <v>4623</v>
      </c>
      <c r="AH34" s="8">
        <v>3183</v>
      </c>
      <c r="AI34" s="8">
        <v>3703</v>
      </c>
      <c r="AJ34" s="8">
        <v>10259</v>
      </c>
      <c r="AK34" s="8">
        <v>2254</v>
      </c>
      <c r="AL34" s="8">
        <v>1802</v>
      </c>
      <c r="AM34" s="8">
        <v>4026</v>
      </c>
      <c r="AN34" s="8">
        <v>4234</v>
      </c>
      <c r="AO34" s="8">
        <v>1976</v>
      </c>
      <c r="AP34" s="8">
        <v>3412</v>
      </c>
      <c r="AQ34" s="8">
        <v>2970</v>
      </c>
      <c r="AR34" s="8">
        <v>1703</v>
      </c>
      <c r="AS34" s="8">
        <v>3810</v>
      </c>
      <c r="AT34" s="8">
        <v>4219</v>
      </c>
      <c r="AU34" s="8">
        <v>2331</v>
      </c>
      <c r="AV34" s="8">
        <v>2802</v>
      </c>
      <c r="AW34" s="8">
        <v>7911</v>
      </c>
      <c r="AX34" s="8">
        <v>2892</v>
      </c>
      <c r="AY34" s="8">
        <v>2047</v>
      </c>
      <c r="AZ34" s="8">
        <v>4019</v>
      </c>
      <c r="BA34" s="8">
        <v>2247</v>
      </c>
      <c r="BB34" s="8">
        <v>2240</v>
      </c>
      <c r="BC34" s="8">
        <v>2543</v>
      </c>
      <c r="BD34" s="8">
        <v>2361</v>
      </c>
      <c r="BE34" s="8">
        <v>7040</v>
      </c>
      <c r="BF34" s="8">
        <v>4431</v>
      </c>
      <c r="BG34" s="8">
        <v>4291</v>
      </c>
      <c r="BH34" s="8">
        <v>3194</v>
      </c>
      <c r="BI34" s="8">
        <v>4558</v>
      </c>
      <c r="BJ34" s="8">
        <v>4802</v>
      </c>
      <c r="BK34" s="8">
        <v>3268</v>
      </c>
      <c r="BL34" s="8">
        <v>1553</v>
      </c>
      <c r="BM34" s="8">
        <v>1834</v>
      </c>
      <c r="BN34" s="8">
        <v>4378</v>
      </c>
      <c r="BO34" s="8">
        <v>4921</v>
      </c>
      <c r="BP34" s="8">
        <v>3073</v>
      </c>
      <c r="BQ34" s="8">
        <v>3833</v>
      </c>
      <c r="BR34" s="8">
        <v>3001</v>
      </c>
      <c r="BS34" s="8">
        <v>3278</v>
      </c>
      <c r="BT34" s="8">
        <v>2434</v>
      </c>
      <c r="BU34" s="8">
        <v>2386</v>
      </c>
      <c r="BV34" s="8">
        <v>1799</v>
      </c>
      <c r="BW34" s="8">
        <v>2463</v>
      </c>
      <c r="BX34" s="8">
        <v>2062</v>
      </c>
      <c r="BY34" s="8">
        <v>1461</v>
      </c>
      <c r="BZ34" s="8">
        <v>4580</v>
      </c>
      <c r="CA34" s="8">
        <v>3049</v>
      </c>
      <c r="CB34" s="8">
        <v>1299</v>
      </c>
      <c r="CC34" s="8">
        <v>4447</v>
      </c>
      <c r="CD34" s="8">
        <v>3229</v>
      </c>
      <c r="CE34" s="8">
        <v>4083</v>
      </c>
      <c r="CF34" s="8">
        <v>1502</v>
      </c>
      <c r="CG34" s="8">
        <v>4621</v>
      </c>
      <c r="CH34" s="8">
        <v>4245</v>
      </c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</row>
    <row r="35" spans="1:165" x14ac:dyDescent="0.2">
      <c r="A35" s="1" t="s">
        <v>368</v>
      </c>
      <c r="B35" s="1" t="s">
        <v>369</v>
      </c>
      <c r="C35" s="1" t="s">
        <v>294</v>
      </c>
      <c r="D35" s="1" t="str">
        <f>HYPERLINK("http://eros.fiehnlab.ucdavis.edu:8080/binbase-compound/bin/show/228373?db=rtx5","228373")</f>
        <v>228373</v>
      </c>
      <c r="E35" s="1" t="s">
        <v>370</v>
      </c>
      <c r="F35" s="1" t="str">
        <f>HYPERLINK("http://www.genome.ad.jp/dbget-bin/www_bget?compound+C00134","C00134")</f>
        <v>C00134</v>
      </c>
      <c r="G35" s="1" t="str">
        <f>HYPERLINK("http://pubchem.ncbi.nlm.nih.gov/summary/summary.cgi?cid=1045","1045")</f>
        <v>1045</v>
      </c>
      <c r="H35" s="1"/>
      <c r="I35" s="8">
        <v>378</v>
      </c>
      <c r="J35" s="8">
        <v>282</v>
      </c>
      <c r="K35" s="8">
        <v>379</v>
      </c>
      <c r="L35" s="8">
        <v>362</v>
      </c>
      <c r="M35" s="8">
        <v>339</v>
      </c>
      <c r="N35" s="8">
        <v>578</v>
      </c>
      <c r="O35" s="8">
        <v>1455</v>
      </c>
      <c r="P35" s="8">
        <v>1782</v>
      </c>
      <c r="Q35" s="8">
        <v>1456</v>
      </c>
      <c r="R35" s="8">
        <v>1415</v>
      </c>
      <c r="S35" s="8">
        <v>1440</v>
      </c>
      <c r="T35" s="8">
        <v>1012</v>
      </c>
      <c r="U35" s="8">
        <v>1225</v>
      </c>
      <c r="V35" s="8">
        <v>1131</v>
      </c>
      <c r="W35" s="8">
        <v>10051</v>
      </c>
      <c r="X35" s="8">
        <v>1541</v>
      </c>
      <c r="Y35" s="8">
        <v>1059</v>
      </c>
      <c r="Z35" s="8">
        <v>502</v>
      </c>
      <c r="AA35" s="8">
        <v>326</v>
      </c>
      <c r="AB35" s="8">
        <v>481</v>
      </c>
      <c r="AC35" s="8">
        <v>331</v>
      </c>
      <c r="AD35" s="8">
        <v>306</v>
      </c>
      <c r="AE35" s="8">
        <v>357</v>
      </c>
      <c r="AF35" s="8">
        <v>277</v>
      </c>
      <c r="AG35" s="8">
        <v>13829</v>
      </c>
      <c r="AH35" s="8">
        <v>13322</v>
      </c>
      <c r="AI35" s="8">
        <v>13274</v>
      </c>
      <c r="AJ35" s="8">
        <v>18656</v>
      </c>
      <c r="AK35" s="8">
        <v>8136</v>
      </c>
      <c r="AL35" s="8">
        <v>1503</v>
      </c>
      <c r="AM35" s="8">
        <v>2028</v>
      </c>
      <c r="AN35" s="8">
        <v>1625</v>
      </c>
      <c r="AO35" s="8">
        <v>1317</v>
      </c>
      <c r="AP35" s="8">
        <v>1574</v>
      </c>
      <c r="AQ35" s="8">
        <v>1398</v>
      </c>
      <c r="AR35" s="8">
        <v>1127</v>
      </c>
      <c r="AS35" s="8">
        <v>1281</v>
      </c>
      <c r="AT35" s="8">
        <v>1546</v>
      </c>
      <c r="AU35" s="8">
        <v>1368</v>
      </c>
      <c r="AV35" s="8">
        <v>1444</v>
      </c>
      <c r="AW35" s="8">
        <v>1879</v>
      </c>
      <c r="AX35" s="8">
        <v>1842</v>
      </c>
      <c r="AY35" s="8">
        <v>714</v>
      </c>
      <c r="AZ35" s="8">
        <v>634</v>
      </c>
      <c r="BA35" s="8">
        <v>664</v>
      </c>
      <c r="BB35" s="8">
        <v>717</v>
      </c>
      <c r="BC35" s="8">
        <v>777</v>
      </c>
      <c r="BD35" s="8">
        <v>592</v>
      </c>
      <c r="BE35" s="8">
        <v>21032</v>
      </c>
      <c r="BF35" s="8">
        <v>10872</v>
      </c>
      <c r="BG35" s="8">
        <v>18215</v>
      </c>
      <c r="BH35" s="8">
        <v>13756</v>
      </c>
      <c r="BI35" s="8">
        <v>15349</v>
      </c>
      <c r="BJ35" s="8">
        <v>17638</v>
      </c>
      <c r="BK35" s="8">
        <v>1642</v>
      </c>
      <c r="BL35" s="8">
        <v>1176</v>
      </c>
      <c r="BM35" s="8">
        <v>1074</v>
      </c>
      <c r="BN35" s="8">
        <v>1185</v>
      </c>
      <c r="BO35" s="8">
        <v>1359</v>
      </c>
      <c r="BP35" s="8">
        <v>811</v>
      </c>
      <c r="BQ35" s="8">
        <v>591</v>
      </c>
      <c r="BR35" s="8">
        <v>973</v>
      </c>
      <c r="BS35" s="8">
        <v>1177</v>
      </c>
      <c r="BT35" s="8">
        <v>1640</v>
      </c>
      <c r="BU35" s="8">
        <v>1506</v>
      </c>
      <c r="BV35" s="8">
        <v>1177</v>
      </c>
      <c r="BW35" s="8">
        <v>314</v>
      </c>
      <c r="BX35" s="8">
        <v>235</v>
      </c>
      <c r="BY35" s="8">
        <v>290</v>
      </c>
      <c r="BZ35" s="8">
        <v>271</v>
      </c>
      <c r="CA35" s="8">
        <v>312</v>
      </c>
      <c r="CB35" s="8">
        <v>273</v>
      </c>
      <c r="CC35" s="8">
        <v>15047</v>
      </c>
      <c r="CD35" s="8">
        <v>13648</v>
      </c>
      <c r="CE35" s="8">
        <v>11766</v>
      </c>
      <c r="CF35" s="8">
        <v>12505</v>
      </c>
      <c r="CG35" s="8">
        <v>12614</v>
      </c>
      <c r="CH35" s="8">
        <v>16183</v>
      </c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</row>
    <row r="36" spans="1:165" x14ac:dyDescent="0.2">
      <c r="A36" s="1" t="s">
        <v>372</v>
      </c>
      <c r="B36" s="1" t="s">
        <v>373</v>
      </c>
      <c r="C36" s="1" t="s">
        <v>374</v>
      </c>
      <c r="D36" s="1" t="str">
        <f>HYPERLINK("http://eros.fiehnlab.ucdavis.edu:8080/binbase-compound/bin/show/272666?db=rtx5","272666")</f>
        <v>272666</v>
      </c>
      <c r="E36" s="1" t="s">
        <v>375</v>
      </c>
      <c r="F36" s="1" t="str">
        <f>HYPERLINK("http://www.genome.ad.jp/dbget-bin/www_bget?compound+C02457","C02457")</f>
        <v>C02457</v>
      </c>
      <c r="G36" s="1" t="str">
        <f>HYPERLINK("http://pubchem.ncbi.nlm.nih.gov/summary/summary.cgi?cid=10442","10442")</f>
        <v>10442</v>
      </c>
      <c r="H36" s="1"/>
      <c r="I36" s="8">
        <v>1021</v>
      </c>
      <c r="J36" s="8">
        <v>807</v>
      </c>
      <c r="K36" s="8">
        <v>789</v>
      </c>
      <c r="L36" s="8">
        <v>701</v>
      </c>
      <c r="M36" s="8">
        <v>599</v>
      </c>
      <c r="N36" s="8">
        <v>506</v>
      </c>
      <c r="O36" s="8">
        <v>860</v>
      </c>
      <c r="P36" s="8">
        <v>986</v>
      </c>
      <c r="Q36" s="8">
        <v>347</v>
      </c>
      <c r="R36" s="8">
        <v>545</v>
      </c>
      <c r="S36" s="8">
        <v>403</v>
      </c>
      <c r="T36" s="8">
        <v>864</v>
      </c>
      <c r="U36" s="8">
        <v>1023</v>
      </c>
      <c r="V36" s="8">
        <v>961</v>
      </c>
      <c r="W36" s="8">
        <v>954</v>
      </c>
      <c r="X36" s="8">
        <v>673</v>
      </c>
      <c r="Y36" s="8">
        <v>430</v>
      </c>
      <c r="Z36" s="8">
        <v>296</v>
      </c>
      <c r="AA36" s="8">
        <v>547</v>
      </c>
      <c r="AB36" s="8">
        <v>787</v>
      </c>
      <c r="AC36" s="8">
        <v>895</v>
      </c>
      <c r="AD36" s="8">
        <v>699</v>
      </c>
      <c r="AE36" s="8">
        <v>687</v>
      </c>
      <c r="AF36" s="8">
        <v>351</v>
      </c>
      <c r="AG36" s="8">
        <v>653</v>
      </c>
      <c r="AH36" s="8">
        <v>802</v>
      </c>
      <c r="AI36" s="8">
        <v>751</v>
      </c>
      <c r="AJ36" s="8">
        <v>688</v>
      </c>
      <c r="AK36" s="8">
        <v>233</v>
      </c>
      <c r="AL36" s="8">
        <v>764</v>
      </c>
      <c r="AM36" s="8">
        <v>1163</v>
      </c>
      <c r="AN36" s="8">
        <v>1125</v>
      </c>
      <c r="AO36" s="8">
        <v>927</v>
      </c>
      <c r="AP36" s="8">
        <v>1111</v>
      </c>
      <c r="AQ36" s="8">
        <v>712</v>
      </c>
      <c r="AR36" s="8">
        <v>450</v>
      </c>
      <c r="AS36" s="8">
        <v>807</v>
      </c>
      <c r="AT36" s="8">
        <v>954</v>
      </c>
      <c r="AU36" s="8">
        <v>840</v>
      </c>
      <c r="AV36" s="8">
        <v>759</v>
      </c>
      <c r="AW36" s="8">
        <v>960</v>
      </c>
      <c r="AX36" s="8">
        <v>538</v>
      </c>
      <c r="AY36" s="8">
        <v>922</v>
      </c>
      <c r="AZ36" s="8">
        <v>851</v>
      </c>
      <c r="BA36" s="8">
        <v>866</v>
      </c>
      <c r="BB36" s="8">
        <v>850</v>
      </c>
      <c r="BC36" s="8">
        <v>746</v>
      </c>
      <c r="BD36" s="8">
        <v>312</v>
      </c>
      <c r="BE36" s="8">
        <v>1036</v>
      </c>
      <c r="BF36" s="8">
        <v>848</v>
      </c>
      <c r="BG36" s="8">
        <v>869</v>
      </c>
      <c r="BH36" s="8">
        <v>659</v>
      </c>
      <c r="BI36" s="8">
        <v>710</v>
      </c>
      <c r="BJ36" s="8">
        <v>378</v>
      </c>
      <c r="BK36" s="8">
        <v>953</v>
      </c>
      <c r="BL36" s="8">
        <v>835</v>
      </c>
      <c r="BM36" s="8">
        <v>1019</v>
      </c>
      <c r="BN36" s="8">
        <v>458</v>
      </c>
      <c r="BO36" s="8">
        <v>585</v>
      </c>
      <c r="BP36" s="8">
        <v>1000</v>
      </c>
      <c r="BQ36" s="8">
        <v>651</v>
      </c>
      <c r="BR36" s="8">
        <v>874</v>
      </c>
      <c r="BS36" s="8">
        <v>747</v>
      </c>
      <c r="BT36" s="8">
        <v>696</v>
      </c>
      <c r="BU36" s="8">
        <v>263</v>
      </c>
      <c r="BV36" s="8">
        <v>588</v>
      </c>
      <c r="BW36" s="8">
        <v>914</v>
      </c>
      <c r="BX36" s="8">
        <v>731</v>
      </c>
      <c r="BY36" s="8">
        <v>691</v>
      </c>
      <c r="BZ36" s="8">
        <v>911</v>
      </c>
      <c r="CA36" s="8">
        <v>166</v>
      </c>
      <c r="CB36" s="8">
        <v>787</v>
      </c>
      <c r="CC36" s="8">
        <v>672</v>
      </c>
      <c r="CD36" s="8">
        <v>797</v>
      </c>
      <c r="CE36" s="8">
        <v>871</v>
      </c>
      <c r="CF36" s="8">
        <v>629</v>
      </c>
      <c r="CG36" s="8">
        <v>556</v>
      </c>
      <c r="CH36" s="8">
        <v>274</v>
      </c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</row>
    <row r="37" spans="1:165" x14ac:dyDescent="0.2">
      <c r="A37" s="1" t="s">
        <v>376</v>
      </c>
      <c r="B37" s="1" t="s">
        <v>377</v>
      </c>
      <c r="C37" s="1" t="s">
        <v>378</v>
      </c>
      <c r="D37" s="1" t="str">
        <f>HYPERLINK("http://eros.fiehnlab.ucdavis.edu:8080/binbase-compound/bin/show/199611?db=rtx5","199611")</f>
        <v>199611</v>
      </c>
      <c r="E37" s="1" t="s">
        <v>379</v>
      </c>
      <c r="F37" s="1" t="str">
        <f>HYPERLINK("http://www.genome.ad.jp/dbget-bin/www_bget?compound+C00148","C00148")</f>
        <v>C00148</v>
      </c>
      <c r="G37" s="1" t="str">
        <f>HYPERLINK("http://pubchem.ncbi.nlm.nih.gov/summary/summary.cgi?cid=145742","145742")</f>
        <v>145742</v>
      </c>
      <c r="H37" s="1"/>
      <c r="I37" s="8">
        <v>37392</v>
      </c>
      <c r="J37" s="8">
        <v>49316</v>
      </c>
      <c r="K37" s="8">
        <v>44178</v>
      </c>
      <c r="L37" s="8">
        <v>45792</v>
      </c>
      <c r="M37" s="8">
        <v>48139</v>
      </c>
      <c r="N37" s="8">
        <v>39735</v>
      </c>
      <c r="O37" s="8">
        <v>55106</v>
      </c>
      <c r="P37" s="8">
        <v>59047</v>
      </c>
      <c r="Q37" s="8">
        <v>53604</v>
      </c>
      <c r="R37" s="8">
        <v>37530</v>
      </c>
      <c r="S37" s="8">
        <v>35465</v>
      </c>
      <c r="T37" s="8">
        <v>58320</v>
      </c>
      <c r="U37" s="8">
        <v>38831</v>
      </c>
      <c r="V37" s="8">
        <v>39019</v>
      </c>
      <c r="W37" s="8">
        <v>34901</v>
      </c>
      <c r="X37" s="8">
        <v>57540</v>
      </c>
      <c r="Y37" s="8">
        <v>52724</v>
      </c>
      <c r="Z37" s="8">
        <v>35323</v>
      </c>
      <c r="AA37" s="8">
        <v>52271</v>
      </c>
      <c r="AB37" s="8">
        <v>75932</v>
      </c>
      <c r="AC37" s="8">
        <v>48214</v>
      </c>
      <c r="AD37" s="8">
        <v>71421</v>
      </c>
      <c r="AE37" s="8">
        <v>59349</v>
      </c>
      <c r="AF37" s="8">
        <v>38883</v>
      </c>
      <c r="AG37" s="8">
        <v>63056</v>
      </c>
      <c r="AH37" s="8">
        <v>44896</v>
      </c>
      <c r="AI37" s="8">
        <v>61544</v>
      </c>
      <c r="AJ37" s="8">
        <v>61342</v>
      </c>
      <c r="AK37" s="8">
        <v>54182</v>
      </c>
      <c r="AL37" s="8">
        <v>44506</v>
      </c>
      <c r="AM37" s="8">
        <v>48807</v>
      </c>
      <c r="AN37" s="8">
        <v>34572</v>
      </c>
      <c r="AO37" s="8">
        <v>52081</v>
      </c>
      <c r="AP37" s="8">
        <v>35306</v>
      </c>
      <c r="AQ37" s="8">
        <v>45791</v>
      </c>
      <c r="AR37" s="8">
        <v>43089</v>
      </c>
      <c r="AS37" s="8">
        <v>57191</v>
      </c>
      <c r="AT37" s="8">
        <v>53221</v>
      </c>
      <c r="AU37" s="8">
        <v>61977</v>
      </c>
      <c r="AV37" s="8">
        <v>65167</v>
      </c>
      <c r="AW37" s="8">
        <v>34850</v>
      </c>
      <c r="AX37" s="8">
        <v>55506</v>
      </c>
      <c r="AY37" s="8">
        <v>50803</v>
      </c>
      <c r="AZ37" s="8">
        <v>35855</v>
      </c>
      <c r="BA37" s="8">
        <v>51324</v>
      </c>
      <c r="BB37" s="8">
        <v>54697</v>
      </c>
      <c r="BC37" s="8">
        <v>56859</v>
      </c>
      <c r="BD37" s="8">
        <v>39595</v>
      </c>
      <c r="BE37" s="8">
        <v>44282</v>
      </c>
      <c r="BF37" s="8">
        <v>42513</v>
      </c>
      <c r="BG37" s="8">
        <v>61332</v>
      </c>
      <c r="BH37" s="8">
        <v>62147</v>
      </c>
      <c r="BI37" s="8">
        <v>63384</v>
      </c>
      <c r="BJ37" s="8">
        <v>56361</v>
      </c>
      <c r="BK37" s="8">
        <v>44035</v>
      </c>
      <c r="BL37" s="8">
        <v>54341</v>
      </c>
      <c r="BM37" s="8">
        <v>60534</v>
      </c>
      <c r="BN37" s="8">
        <v>46330</v>
      </c>
      <c r="BO37" s="8">
        <v>50169</v>
      </c>
      <c r="BP37" s="8">
        <v>39378</v>
      </c>
      <c r="BQ37" s="8">
        <v>38239</v>
      </c>
      <c r="BR37" s="8">
        <v>43616</v>
      </c>
      <c r="BS37" s="8">
        <v>42763</v>
      </c>
      <c r="BT37" s="8">
        <v>52451</v>
      </c>
      <c r="BU37" s="8">
        <v>53180</v>
      </c>
      <c r="BV37" s="8">
        <v>42979</v>
      </c>
      <c r="BW37" s="8">
        <v>55118</v>
      </c>
      <c r="BX37" s="8">
        <v>62796</v>
      </c>
      <c r="BY37" s="8">
        <v>63966</v>
      </c>
      <c r="BZ37" s="8">
        <v>53245</v>
      </c>
      <c r="CA37" s="8">
        <v>54722</v>
      </c>
      <c r="CB37" s="8">
        <v>35876</v>
      </c>
      <c r="CC37" s="8">
        <v>27040</v>
      </c>
      <c r="CD37" s="8">
        <v>35723</v>
      </c>
      <c r="CE37" s="8">
        <v>36601</v>
      </c>
      <c r="CF37" s="8">
        <v>59867</v>
      </c>
      <c r="CG37" s="8">
        <v>53475</v>
      </c>
      <c r="CH37" s="8">
        <v>47934</v>
      </c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9"/>
      <c r="EZ37" s="9"/>
      <c r="FA37" s="9"/>
      <c r="FB37" s="9"/>
      <c r="FC37" s="9"/>
      <c r="FD37" s="9"/>
      <c r="FE37" s="9"/>
      <c r="FF37" s="9"/>
      <c r="FG37" s="9"/>
      <c r="FH37" s="9"/>
      <c r="FI37" s="9"/>
    </row>
    <row r="38" spans="1:165" x14ac:dyDescent="0.2">
      <c r="A38" s="1" t="s">
        <v>380</v>
      </c>
      <c r="B38" s="1" t="s">
        <v>381</v>
      </c>
      <c r="C38" s="1" t="s">
        <v>382</v>
      </c>
      <c r="D38" s="1" t="str">
        <f>HYPERLINK("http://eros.fiehnlab.ucdavis.edu:8080/binbase-compound/bin/show/238962?db=rtx5","238962")</f>
        <v>238962</v>
      </c>
      <c r="E38" s="1" t="s">
        <v>383</v>
      </c>
      <c r="F38" s="1" t="str">
        <f>HYPERLINK("http://www.genome.ad.jp/dbget-bin/www_bget?compound+C00530      ","C00530      ")</f>
        <v xml:space="preserve">C00530      </v>
      </c>
      <c r="G38" s="1" t="str">
        <f>HYPERLINK("http://pubchem.ncbi.nlm.nih.gov/summary/summary.cgi?cid=785","785")</f>
        <v>785</v>
      </c>
      <c r="H38" s="1"/>
      <c r="I38" s="8">
        <v>319</v>
      </c>
      <c r="J38" s="8">
        <v>274</v>
      </c>
      <c r="K38" s="8">
        <v>234</v>
      </c>
      <c r="L38" s="8">
        <v>196</v>
      </c>
      <c r="M38" s="8">
        <v>199</v>
      </c>
      <c r="N38" s="8">
        <v>304</v>
      </c>
      <c r="O38" s="8">
        <v>304</v>
      </c>
      <c r="P38" s="8">
        <v>335</v>
      </c>
      <c r="Q38" s="8">
        <v>336</v>
      </c>
      <c r="R38" s="8">
        <v>309</v>
      </c>
      <c r="S38" s="8">
        <v>341</v>
      </c>
      <c r="T38" s="8">
        <v>252</v>
      </c>
      <c r="U38" s="8">
        <v>291</v>
      </c>
      <c r="V38" s="8">
        <v>279</v>
      </c>
      <c r="W38" s="8">
        <v>200</v>
      </c>
      <c r="X38" s="8">
        <v>341</v>
      </c>
      <c r="Y38" s="8">
        <v>213</v>
      </c>
      <c r="Z38" s="8">
        <v>257</v>
      </c>
      <c r="AA38" s="8">
        <v>158</v>
      </c>
      <c r="AB38" s="8">
        <v>237</v>
      </c>
      <c r="AC38" s="8">
        <v>261</v>
      </c>
      <c r="AD38" s="8">
        <v>269</v>
      </c>
      <c r="AE38" s="8">
        <v>335</v>
      </c>
      <c r="AF38" s="8">
        <v>177</v>
      </c>
      <c r="AG38" s="8">
        <v>243</v>
      </c>
      <c r="AH38" s="8">
        <v>260</v>
      </c>
      <c r="AI38" s="8">
        <v>273</v>
      </c>
      <c r="AJ38" s="8">
        <v>265</v>
      </c>
      <c r="AK38" s="8">
        <v>181</v>
      </c>
      <c r="AL38" s="8">
        <v>308</v>
      </c>
      <c r="AM38" s="8">
        <v>447</v>
      </c>
      <c r="AN38" s="8">
        <v>208</v>
      </c>
      <c r="AO38" s="8">
        <v>341</v>
      </c>
      <c r="AP38" s="8">
        <v>328</v>
      </c>
      <c r="AQ38" s="8">
        <v>279</v>
      </c>
      <c r="AR38" s="8">
        <v>206</v>
      </c>
      <c r="AS38" s="8">
        <v>318</v>
      </c>
      <c r="AT38" s="8">
        <v>312</v>
      </c>
      <c r="AU38" s="8">
        <v>238</v>
      </c>
      <c r="AV38" s="8">
        <v>202</v>
      </c>
      <c r="AW38" s="8">
        <v>324</v>
      </c>
      <c r="AX38" s="8">
        <v>195</v>
      </c>
      <c r="AY38" s="8">
        <v>308</v>
      </c>
      <c r="AZ38" s="8">
        <v>298</v>
      </c>
      <c r="BA38" s="8">
        <v>336</v>
      </c>
      <c r="BB38" s="8">
        <v>386</v>
      </c>
      <c r="BC38" s="8">
        <v>217</v>
      </c>
      <c r="BD38" s="8">
        <v>405</v>
      </c>
      <c r="BE38" s="8">
        <v>192</v>
      </c>
      <c r="BF38" s="8">
        <v>179</v>
      </c>
      <c r="BG38" s="8">
        <v>219</v>
      </c>
      <c r="BH38" s="8">
        <v>264</v>
      </c>
      <c r="BI38" s="8">
        <v>280</v>
      </c>
      <c r="BJ38" s="8">
        <v>254</v>
      </c>
      <c r="BK38" s="8">
        <v>243</v>
      </c>
      <c r="BL38" s="8">
        <v>231</v>
      </c>
      <c r="BM38" s="8">
        <v>349</v>
      </c>
      <c r="BN38" s="8">
        <v>214</v>
      </c>
      <c r="BO38" s="8">
        <v>302</v>
      </c>
      <c r="BP38" s="8">
        <v>243</v>
      </c>
      <c r="BQ38" s="8">
        <v>298</v>
      </c>
      <c r="BR38" s="8">
        <v>310</v>
      </c>
      <c r="BS38" s="8">
        <v>328</v>
      </c>
      <c r="BT38" s="8">
        <v>182</v>
      </c>
      <c r="BU38" s="8">
        <v>230</v>
      </c>
      <c r="BV38" s="8">
        <v>270</v>
      </c>
      <c r="BW38" s="8">
        <v>255</v>
      </c>
      <c r="BX38" s="8">
        <v>162</v>
      </c>
      <c r="BY38" s="8">
        <v>223</v>
      </c>
      <c r="BZ38" s="8">
        <v>397</v>
      </c>
      <c r="CA38" s="8">
        <v>283</v>
      </c>
      <c r="CB38" s="8">
        <v>268</v>
      </c>
      <c r="CC38" s="8">
        <v>243</v>
      </c>
      <c r="CD38" s="8">
        <v>213</v>
      </c>
      <c r="CE38" s="8">
        <v>225</v>
      </c>
      <c r="CF38" s="8">
        <v>193</v>
      </c>
      <c r="CG38" s="8">
        <v>205</v>
      </c>
      <c r="CH38" s="8">
        <v>266</v>
      </c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</row>
    <row r="39" spans="1:165" x14ac:dyDescent="0.2">
      <c r="A39" s="1" t="s">
        <v>384</v>
      </c>
      <c r="B39" s="1" t="s">
        <v>385</v>
      </c>
      <c r="C39" s="1" t="s">
        <v>386</v>
      </c>
      <c r="D39" s="1" t="str">
        <f>HYPERLINK("http://eros.fiehnlab.ucdavis.edu:8080/binbase-compound/bin/show/199165?db=rtx5","199165")</f>
        <v>199165</v>
      </c>
      <c r="E39" s="1" t="s">
        <v>387</v>
      </c>
      <c r="F39" s="1" t="str">
        <f>HYPERLINK("http://www.genome.ad.jp/dbget-bin/www_bget?compound+C00009","C00009")</f>
        <v>C00009</v>
      </c>
      <c r="G39" s="1" t="str">
        <f>HYPERLINK("http://pubchem.ncbi.nlm.nih.gov/summary/summary.cgi?cid= 1004"," 1004")</f>
        <v xml:space="preserve"> 1004</v>
      </c>
      <c r="H39" s="1"/>
      <c r="I39" s="8">
        <v>194137</v>
      </c>
      <c r="J39" s="8">
        <v>169921</v>
      </c>
      <c r="K39" s="8">
        <v>245907</v>
      </c>
      <c r="L39" s="8">
        <v>179793</v>
      </c>
      <c r="M39" s="8">
        <v>222225</v>
      </c>
      <c r="N39" s="8">
        <v>187498</v>
      </c>
      <c r="O39" s="8">
        <v>152683</v>
      </c>
      <c r="P39" s="8">
        <v>128079</v>
      </c>
      <c r="Q39" s="8">
        <v>184602</v>
      </c>
      <c r="R39" s="8">
        <v>165599</v>
      </c>
      <c r="S39" s="8">
        <v>182536</v>
      </c>
      <c r="T39" s="8">
        <v>181147</v>
      </c>
      <c r="U39" s="8">
        <v>121555</v>
      </c>
      <c r="V39" s="8">
        <v>205741</v>
      </c>
      <c r="W39" s="8">
        <v>140037</v>
      </c>
      <c r="X39" s="8">
        <v>183057</v>
      </c>
      <c r="Y39" s="8">
        <v>151623</v>
      </c>
      <c r="Z39" s="8">
        <v>161742</v>
      </c>
      <c r="AA39" s="8">
        <v>121961</v>
      </c>
      <c r="AB39" s="8">
        <v>199704</v>
      </c>
      <c r="AC39" s="8">
        <v>215418</v>
      </c>
      <c r="AD39" s="8">
        <v>156885</v>
      </c>
      <c r="AE39" s="8">
        <v>207834</v>
      </c>
      <c r="AF39" s="8">
        <v>126969</v>
      </c>
      <c r="AG39" s="8">
        <v>158967</v>
      </c>
      <c r="AH39" s="8">
        <v>168099</v>
      </c>
      <c r="AI39" s="8">
        <v>165126</v>
      </c>
      <c r="AJ39" s="8">
        <v>1311</v>
      </c>
      <c r="AK39" s="8">
        <v>139294</v>
      </c>
      <c r="AL39" s="8">
        <v>169461</v>
      </c>
      <c r="AM39" s="8">
        <v>153035</v>
      </c>
      <c r="AN39" s="8">
        <v>172270</v>
      </c>
      <c r="AO39" s="8">
        <v>163811</v>
      </c>
      <c r="AP39" s="8">
        <v>140879</v>
      </c>
      <c r="AQ39" s="8">
        <v>166380</v>
      </c>
      <c r="AR39" s="8">
        <v>135855</v>
      </c>
      <c r="AS39" s="8">
        <v>161535</v>
      </c>
      <c r="AT39" s="8">
        <v>141503</v>
      </c>
      <c r="AU39" s="8">
        <v>116665</v>
      </c>
      <c r="AV39" s="8">
        <v>121430</v>
      </c>
      <c r="AW39" s="8">
        <v>191848</v>
      </c>
      <c r="AX39" s="8">
        <v>162411</v>
      </c>
      <c r="AY39" s="8">
        <v>230788</v>
      </c>
      <c r="AZ39" s="8">
        <v>209306</v>
      </c>
      <c r="BA39" s="8">
        <v>225692</v>
      </c>
      <c r="BB39" s="8">
        <v>248942</v>
      </c>
      <c r="BC39" s="8">
        <v>251596</v>
      </c>
      <c r="BD39" s="8">
        <v>364702</v>
      </c>
      <c r="BE39" s="8">
        <v>132290</v>
      </c>
      <c r="BF39" s="8">
        <v>140637</v>
      </c>
      <c r="BG39" s="8">
        <v>119349</v>
      </c>
      <c r="BH39" s="8">
        <v>123918</v>
      </c>
      <c r="BI39" s="8">
        <v>137345</v>
      </c>
      <c r="BJ39" s="8">
        <v>166022</v>
      </c>
      <c r="BK39" s="8">
        <v>175041</v>
      </c>
      <c r="BL39" s="8">
        <v>217739</v>
      </c>
      <c r="BM39" s="8">
        <v>152664</v>
      </c>
      <c r="BN39" s="8">
        <v>128927</v>
      </c>
      <c r="BO39" s="8">
        <v>244528</v>
      </c>
      <c r="BP39" s="8">
        <v>232332</v>
      </c>
      <c r="BQ39" s="8">
        <v>166459</v>
      </c>
      <c r="BR39" s="8">
        <v>125661</v>
      </c>
      <c r="BS39" s="8">
        <v>149769</v>
      </c>
      <c r="BT39" s="8">
        <v>208843</v>
      </c>
      <c r="BU39" s="8">
        <v>130420</v>
      </c>
      <c r="BV39" s="8">
        <v>195154</v>
      </c>
      <c r="BW39" s="8">
        <v>187184</v>
      </c>
      <c r="BX39" s="8">
        <v>172090</v>
      </c>
      <c r="BY39" s="8">
        <v>190423</v>
      </c>
      <c r="BZ39" s="8">
        <v>184372</v>
      </c>
      <c r="CA39" s="8">
        <v>193698</v>
      </c>
      <c r="CB39" s="8">
        <v>154938</v>
      </c>
      <c r="CC39" s="8">
        <v>140742</v>
      </c>
      <c r="CD39" s="8">
        <v>106220</v>
      </c>
      <c r="CE39" s="8">
        <v>140585</v>
      </c>
      <c r="CF39" s="8">
        <v>138279</v>
      </c>
      <c r="CG39" s="8">
        <v>157928</v>
      </c>
      <c r="CH39" s="8">
        <v>151320</v>
      </c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</row>
    <row r="40" spans="1:165" x14ac:dyDescent="0.2">
      <c r="A40" s="1" t="s">
        <v>388</v>
      </c>
      <c r="B40" s="1" t="s">
        <v>389</v>
      </c>
      <c r="C40" s="1" t="s">
        <v>390</v>
      </c>
      <c r="D40" s="1" t="str">
        <f>HYPERLINK("http://eros.fiehnlab.ucdavis.edu:8080/binbase-compound/bin/show/237954?db=rtx5","237954")</f>
        <v>237954</v>
      </c>
      <c r="E40" s="1" t="s">
        <v>391</v>
      </c>
      <c r="F40" s="1" t="str">
        <f>HYPERLINK("http://www.genome.ad.jp/dbget-bin/www_bget?compound+C00345","C00345")</f>
        <v>C00345</v>
      </c>
      <c r="G40" s="1" t="str">
        <f>HYPERLINK("http://pubchem.ncbi.nlm.nih.gov/summary/summary.cgi?cid=91493","91493")</f>
        <v>91493</v>
      </c>
      <c r="H40" s="1"/>
      <c r="I40" s="8">
        <v>749</v>
      </c>
      <c r="J40" s="8">
        <v>713</v>
      </c>
      <c r="K40" s="8">
        <v>664</v>
      </c>
      <c r="L40" s="8">
        <v>673</v>
      </c>
      <c r="M40" s="8">
        <v>757</v>
      </c>
      <c r="N40" s="8">
        <v>698</v>
      </c>
      <c r="O40" s="8">
        <v>847</v>
      </c>
      <c r="P40" s="8">
        <v>1198</v>
      </c>
      <c r="Q40" s="8">
        <v>1038</v>
      </c>
      <c r="R40" s="8">
        <v>959</v>
      </c>
      <c r="S40" s="8">
        <v>1144</v>
      </c>
      <c r="T40" s="8">
        <v>1012</v>
      </c>
      <c r="U40" s="8">
        <v>1204</v>
      </c>
      <c r="V40" s="8">
        <v>1691</v>
      </c>
      <c r="W40" s="8">
        <v>1518</v>
      </c>
      <c r="X40" s="8">
        <v>1135</v>
      </c>
      <c r="Y40" s="8">
        <v>1297</v>
      </c>
      <c r="Z40" s="8">
        <v>1238</v>
      </c>
      <c r="AA40" s="8">
        <v>714</v>
      </c>
      <c r="AB40" s="8">
        <v>1138</v>
      </c>
      <c r="AC40" s="8">
        <v>1630</v>
      </c>
      <c r="AD40" s="8">
        <v>996</v>
      </c>
      <c r="AE40" s="8">
        <v>1152</v>
      </c>
      <c r="AF40" s="8">
        <v>766</v>
      </c>
      <c r="AG40" s="8">
        <v>1641</v>
      </c>
      <c r="AH40" s="8">
        <v>2335</v>
      </c>
      <c r="AI40" s="8">
        <v>1421</v>
      </c>
      <c r="AJ40" s="8">
        <v>1920</v>
      </c>
      <c r="AK40" s="8">
        <v>1698</v>
      </c>
      <c r="AL40" s="8">
        <v>789</v>
      </c>
      <c r="AM40" s="8">
        <v>1611</v>
      </c>
      <c r="AN40" s="8">
        <v>1386</v>
      </c>
      <c r="AO40" s="8">
        <v>1201</v>
      </c>
      <c r="AP40" s="8">
        <v>1061</v>
      </c>
      <c r="AQ40" s="8">
        <v>1360</v>
      </c>
      <c r="AR40" s="8">
        <v>966</v>
      </c>
      <c r="AS40" s="8">
        <v>1149</v>
      </c>
      <c r="AT40" s="8">
        <v>1078</v>
      </c>
      <c r="AU40" s="8">
        <v>866</v>
      </c>
      <c r="AV40" s="8">
        <v>1049</v>
      </c>
      <c r="AW40" s="8">
        <v>762</v>
      </c>
      <c r="AX40" s="8">
        <v>1135</v>
      </c>
      <c r="AY40" s="8">
        <v>717</v>
      </c>
      <c r="AZ40" s="8">
        <v>995</v>
      </c>
      <c r="BA40" s="8">
        <v>572</v>
      </c>
      <c r="BB40" s="8">
        <v>377</v>
      </c>
      <c r="BC40" s="8">
        <v>701</v>
      </c>
      <c r="BD40" s="8">
        <v>1012</v>
      </c>
      <c r="BE40" s="8">
        <v>1696</v>
      </c>
      <c r="BF40" s="8">
        <v>2226</v>
      </c>
      <c r="BG40" s="8">
        <v>1113</v>
      </c>
      <c r="BH40" s="8">
        <v>1414</v>
      </c>
      <c r="BI40" s="8">
        <v>1757</v>
      </c>
      <c r="BJ40" s="8">
        <v>1644</v>
      </c>
      <c r="BK40" s="8">
        <v>1115</v>
      </c>
      <c r="BL40" s="8">
        <v>953</v>
      </c>
      <c r="BM40" s="8">
        <v>1057</v>
      </c>
      <c r="BN40" s="8">
        <v>632</v>
      </c>
      <c r="BO40" s="8">
        <v>447</v>
      </c>
      <c r="BP40" s="8">
        <v>688</v>
      </c>
      <c r="BQ40" s="8">
        <v>1296</v>
      </c>
      <c r="BR40" s="8">
        <v>1302</v>
      </c>
      <c r="BS40" s="8">
        <v>1385</v>
      </c>
      <c r="BT40" s="8">
        <v>1043</v>
      </c>
      <c r="BU40" s="8">
        <v>1126</v>
      </c>
      <c r="BV40" s="8">
        <v>1035</v>
      </c>
      <c r="BW40" s="8">
        <v>905</v>
      </c>
      <c r="BX40" s="8">
        <v>811</v>
      </c>
      <c r="BY40" s="8">
        <v>869</v>
      </c>
      <c r="BZ40" s="8">
        <v>725</v>
      </c>
      <c r="CA40" s="8">
        <v>839</v>
      </c>
      <c r="CB40" s="8">
        <v>718</v>
      </c>
      <c r="CC40" s="8">
        <v>1497</v>
      </c>
      <c r="CD40" s="8">
        <v>1218</v>
      </c>
      <c r="CE40" s="8">
        <v>1598</v>
      </c>
      <c r="CF40" s="8">
        <v>1477</v>
      </c>
      <c r="CG40" s="8">
        <v>963</v>
      </c>
      <c r="CH40" s="8">
        <v>1585</v>
      </c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</row>
    <row r="41" spans="1:165" x14ac:dyDescent="0.2">
      <c r="A41" s="1" t="s">
        <v>392</v>
      </c>
      <c r="B41" s="1" t="s">
        <v>393</v>
      </c>
      <c r="C41" s="1" t="s">
        <v>394</v>
      </c>
      <c r="D41" s="1" t="str">
        <f>HYPERLINK("http://eros.fiehnlab.ucdavis.edu:8080/binbase-compound/bin/show/199628?db=rtx5","199628")</f>
        <v>199628</v>
      </c>
      <c r="E41" s="1" t="s">
        <v>395</v>
      </c>
      <c r="F41" s="1" t="str">
        <f>HYPERLINK("http://www.genome.ad.jp/dbget-bin/www_bget?compound+C00346","C00346")</f>
        <v>C00346</v>
      </c>
      <c r="G41" s="1" t="str">
        <f>HYPERLINK("http://pubchem.ncbi.nlm.nih.gov/summary/summary.cgi?cid=1015","1015")</f>
        <v>1015</v>
      </c>
      <c r="H41" s="1"/>
      <c r="I41" s="8">
        <v>1228</v>
      </c>
      <c r="J41" s="8">
        <v>916</v>
      </c>
      <c r="K41" s="8">
        <v>443</v>
      </c>
      <c r="L41" s="8">
        <v>818</v>
      </c>
      <c r="M41" s="8">
        <v>376</v>
      </c>
      <c r="N41" s="8">
        <v>443</v>
      </c>
      <c r="O41" s="8">
        <v>553</v>
      </c>
      <c r="P41" s="8">
        <v>757</v>
      </c>
      <c r="Q41" s="8">
        <v>402</v>
      </c>
      <c r="R41" s="8">
        <v>369</v>
      </c>
      <c r="S41" s="8">
        <v>527</v>
      </c>
      <c r="T41" s="8">
        <v>355</v>
      </c>
      <c r="U41" s="8">
        <v>652</v>
      </c>
      <c r="V41" s="8">
        <v>258</v>
      </c>
      <c r="W41" s="8">
        <v>467</v>
      </c>
      <c r="X41" s="8">
        <v>460</v>
      </c>
      <c r="Y41" s="8">
        <v>433</v>
      </c>
      <c r="Z41" s="8">
        <v>351</v>
      </c>
      <c r="AA41" s="8">
        <v>387</v>
      </c>
      <c r="AB41" s="8">
        <v>448</v>
      </c>
      <c r="AC41" s="8">
        <v>1294</v>
      </c>
      <c r="AD41" s="8">
        <v>612</v>
      </c>
      <c r="AE41" s="8">
        <v>114</v>
      </c>
      <c r="AF41" s="8">
        <v>476</v>
      </c>
      <c r="AG41" s="8">
        <v>620</v>
      </c>
      <c r="AH41" s="8">
        <v>544</v>
      </c>
      <c r="AI41" s="8">
        <v>363</v>
      </c>
      <c r="AJ41" s="8">
        <v>664</v>
      </c>
      <c r="AK41" s="8">
        <v>376</v>
      </c>
      <c r="AL41" s="8">
        <v>275</v>
      </c>
      <c r="AM41" s="8">
        <v>555</v>
      </c>
      <c r="AN41" s="8">
        <v>866</v>
      </c>
      <c r="AO41" s="8">
        <v>259</v>
      </c>
      <c r="AP41" s="8">
        <v>681</v>
      </c>
      <c r="AQ41" s="8">
        <v>198</v>
      </c>
      <c r="AR41" s="8">
        <v>386</v>
      </c>
      <c r="AS41" s="8">
        <v>560</v>
      </c>
      <c r="AT41" s="8">
        <v>1038</v>
      </c>
      <c r="AU41" s="8">
        <v>550</v>
      </c>
      <c r="AV41" s="8">
        <v>585</v>
      </c>
      <c r="AW41" s="8">
        <v>321</v>
      </c>
      <c r="AX41" s="8">
        <v>716</v>
      </c>
      <c r="AY41" s="8">
        <v>1170</v>
      </c>
      <c r="AZ41" s="8">
        <v>615</v>
      </c>
      <c r="BA41" s="8">
        <v>346</v>
      </c>
      <c r="BB41" s="8">
        <v>622</v>
      </c>
      <c r="BC41" s="8">
        <v>962</v>
      </c>
      <c r="BD41" s="8">
        <v>546</v>
      </c>
      <c r="BE41" s="8">
        <v>898</v>
      </c>
      <c r="BF41" s="8">
        <v>923</v>
      </c>
      <c r="BG41" s="8">
        <v>553</v>
      </c>
      <c r="BH41" s="8">
        <v>374</v>
      </c>
      <c r="BI41" s="8">
        <v>477</v>
      </c>
      <c r="BJ41" s="8">
        <v>292</v>
      </c>
      <c r="BK41" s="8">
        <v>871</v>
      </c>
      <c r="BL41" s="8">
        <v>657</v>
      </c>
      <c r="BM41" s="8">
        <v>543</v>
      </c>
      <c r="BN41" s="8">
        <v>422</v>
      </c>
      <c r="BO41" s="8">
        <v>602</v>
      </c>
      <c r="BP41" s="8">
        <v>477</v>
      </c>
      <c r="BQ41" s="8">
        <v>590</v>
      </c>
      <c r="BR41" s="8">
        <v>618</v>
      </c>
      <c r="BS41" s="8">
        <v>1087</v>
      </c>
      <c r="BT41" s="8">
        <v>330</v>
      </c>
      <c r="BU41" s="8">
        <v>346</v>
      </c>
      <c r="BV41" s="8">
        <v>364</v>
      </c>
      <c r="BW41" s="8">
        <v>213</v>
      </c>
      <c r="BX41" s="8">
        <v>445</v>
      </c>
      <c r="BY41" s="8">
        <v>591</v>
      </c>
      <c r="BZ41" s="8">
        <v>470</v>
      </c>
      <c r="CA41" s="8">
        <v>226</v>
      </c>
      <c r="CB41" s="8">
        <v>285</v>
      </c>
      <c r="CC41" s="8">
        <v>682</v>
      </c>
      <c r="CD41" s="8">
        <v>753</v>
      </c>
      <c r="CE41" s="8">
        <v>876</v>
      </c>
      <c r="CF41" s="8">
        <v>577</v>
      </c>
      <c r="CG41" s="8">
        <v>562</v>
      </c>
      <c r="CH41" s="8">
        <v>474</v>
      </c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</row>
    <row r="42" spans="1:165" x14ac:dyDescent="0.2">
      <c r="A42" s="1" t="s">
        <v>396</v>
      </c>
      <c r="B42" s="1" t="s">
        <v>397</v>
      </c>
      <c r="C42" s="1" t="s">
        <v>398</v>
      </c>
      <c r="D42" s="1" t="str">
        <f>HYPERLINK("http://eros.fiehnlab.ucdavis.edu:8080/binbase-compound/bin/show/199798?db=rtx5","199798")</f>
        <v>199798</v>
      </c>
      <c r="E42" s="1" t="s">
        <v>399</v>
      </c>
      <c r="F42" s="1" t="str">
        <f>HYPERLINK("http://www.genome.ad.jp/dbget-bin/www_bget?compound+C00079","C00079")</f>
        <v>C00079</v>
      </c>
      <c r="G42" s="1" t="str">
        <f>HYPERLINK("http://pubchem.ncbi.nlm.nih.gov/summary/summary.cgi?cid=6140","6140")</f>
        <v>6140</v>
      </c>
      <c r="H42" s="1"/>
      <c r="I42" s="8">
        <v>9482</v>
      </c>
      <c r="J42" s="8">
        <v>8919</v>
      </c>
      <c r="K42" s="8">
        <v>8890</v>
      </c>
      <c r="L42" s="8">
        <v>9398</v>
      </c>
      <c r="M42" s="8">
        <v>11472</v>
      </c>
      <c r="N42" s="8">
        <v>11001</v>
      </c>
      <c r="O42" s="8">
        <v>11515</v>
      </c>
      <c r="P42" s="8">
        <v>11604</v>
      </c>
      <c r="Q42" s="8">
        <v>12929</v>
      </c>
      <c r="R42" s="8">
        <v>14079</v>
      </c>
      <c r="S42" s="8">
        <v>15065</v>
      </c>
      <c r="T42" s="8">
        <v>11430</v>
      </c>
      <c r="U42" s="8">
        <v>11487</v>
      </c>
      <c r="V42" s="8">
        <v>14274</v>
      </c>
      <c r="W42" s="8">
        <v>12006</v>
      </c>
      <c r="X42" s="8">
        <v>14611</v>
      </c>
      <c r="Y42" s="8">
        <v>13146</v>
      </c>
      <c r="Z42" s="8">
        <v>14480</v>
      </c>
      <c r="AA42" s="8">
        <v>10455</v>
      </c>
      <c r="AB42" s="8">
        <v>8705</v>
      </c>
      <c r="AC42" s="8">
        <v>9473</v>
      </c>
      <c r="AD42" s="8">
        <v>7815</v>
      </c>
      <c r="AE42" s="8">
        <v>9377</v>
      </c>
      <c r="AF42" s="8">
        <v>10598</v>
      </c>
      <c r="AG42" s="8">
        <v>10012</v>
      </c>
      <c r="AH42" s="8">
        <v>11167</v>
      </c>
      <c r="AI42" s="8">
        <v>10114</v>
      </c>
      <c r="AJ42" s="8">
        <v>12959</v>
      </c>
      <c r="AK42" s="8">
        <v>11209</v>
      </c>
      <c r="AL42" s="8">
        <v>12063</v>
      </c>
      <c r="AM42" s="8">
        <v>13375</v>
      </c>
      <c r="AN42" s="8">
        <v>15959</v>
      </c>
      <c r="AO42" s="8">
        <v>11902</v>
      </c>
      <c r="AP42" s="8">
        <v>14923</v>
      </c>
      <c r="AQ42" s="8">
        <v>15379</v>
      </c>
      <c r="AR42" s="8">
        <v>15303</v>
      </c>
      <c r="AS42" s="8">
        <v>15195</v>
      </c>
      <c r="AT42" s="8">
        <v>14686</v>
      </c>
      <c r="AU42" s="8">
        <v>14257</v>
      </c>
      <c r="AV42" s="8">
        <v>14222</v>
      </c>
      <c r="AW42" s="8">
        <v>16920</v>
      </c>
      <c r="AX42" s="8">
        <v>13759</v>
      </c>
      <c r="AY42" s="8">
        <v>8445</v>
      </c>
      <c r="AZ42" s="8">
        <v>12855</v>
      </c>
      <c r="BA42" s="8">
        <v>9984</v>
      </c>
      <c r="BB42" s="8">
        <v>10047</v>
      </c>
      <c r="BC42" s="8">
        <v>10049</v>
      </c>
      <c r="BD42" s="8">
        <v>10024</v>
      </c>
      <c r="BE42" s="8">
        <v>11633</v>
      </c>
      <c r="BF42" s="8">
        <v>11938</v>
      </c>
      <c r="BG42" s="8">
        <v>9879</v>
      </c>
      <c r="BH42" s="8">
        <v>10653</v>
      </c>
      <c r="BI42" s="8">
        <v>12033</v>
      </c>
      <c r="BJ42" s="8">
        <v>11893</v>
      </c>
      <c r="BK42" s="8">
        <v>14594</v>
      </c>
      <c r="BL42" s="8">
        <v>12576</v>
      </c>
      <c r="BM42" s="8">
        <v>13102</v>
      </c>
      <c r="BN42" s="8">
        <v>15970</v>
      </c>
      <c r="BO42" s="8">
        <v>14952</v>
      </c>
      <c r="BP42" s="8">
        <v>14689</v>
      </c>
      <c r="BQ42" s="8">
        <v>17132</v>
      </c>
      <c r="BR42" s="8">
        <v>14807</v>
      </c>
      <c r="BS42" s="8">
        <v>14864</v>
      </c>
      <c r="BT42" s="8">
        <v>15180</v>
      </c>
      <c r="BU42" s="8">
        <v>14495</v>
      </c>
      <c r="BV42" s="8">
        <v>15695</v>
      </c>
      <c r="BW42" s="8">
        <v>9305</v>
      </c>
      <c r="BX42" s="8">
        <v>8589</v>
      </c>
      <c r="BY42" s="8">
        <v>8733</v>
      </c>
      <c r="BZ42" s="8">
        <v>8741</v>
      </c>
      <c r="CA42" s="8">
        <v>10392</v>
      </c>
      <c r="CB42" s="8">
        <v>11438</v>
      </c>
      <c r="CC42" s="8">
        <v>13040</v>
      </c>
      <c r="CD42" s="8">
        <v>13547</v>
      </c>
      <c r="CE42" s="8">
        <v>11615</v>
      </c>
      <c r="CF42" s="8">
        <v>10297</v>
      </c>
      <c r="CG42" s="8">
        <v>11588</v>
      </c>
      <c r="CH42" s="8">
        <v>12989</v>
      </c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9"/>
      <c r="DF42" s="9"/>
      <c r="DG42" s="9"/>
      <c r="DH42" s="9"/>
      <c r="DI42" s="9"/>
      <c r="DJ42" s="9"/>
      <c r="DK42" s="9"/>
      <c r="DL42" s="9"/>
      <c r="DM42" s="9"/>
      <c r="DN42" s="9"/>
      <c r="DO42" s="9"/>
      <c r="DP42" s="9"/>
      <c r="DQ42" s="9"/>
      <c r="DR42" s="9"/>
      <c r="DS42" s="9"/>
      <c r="DT42" s="9"/>
      <c r="DU42" s="9"/>
      <c r="DV42" s="9"/>
      <c r="DW42" s="9"/>
      <c r="DX42" s="9"/>
      <c r="DY42" s="9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9"/>
      <c r="EM42" s="9"/>
      <c r="EN42" s="9"/>
      <c r="EO42" s="9"/>
      <c r="EP42" s="9"/>
      <c r="EQ42" s="9"/>
      <c r="ER42" s="9"/>
      <c r="ES42" s="9"/>
      <c r="ET42" s="9"/>
      <c r="EU42" s="9"/>
      <c r="EV42" s="9"/>
      <c r="EW42" s="9"/>
      <c r="EX42" s="9"/>
      <c r="EY42" s="9"/>
      <c r="EZ42" s="9"/>
      <c r="FA42" s="9"/>
      <c r="FB42" s="9"/>
      <c r="FC42" s="9"/>
      <c r="FD42" s="9"/>
      <c r="FE42" s="9"/>
      <c r="FF42" s="9"/>
      <c r="FG42" s="9"/>
      <c r="FH42" s="9"/>
      <c r="FI42" s="9"/>
    </row>
    <row r="43" spans="1:165" x14ac:dyDescent="0.2">
      <c r="A43" s="1" t="s">
        <v>400</v>
      </c>
      <c r="B43" s="1" t="s">
        <v>401</v>
      </c>
      <c r="C43" s="1" t="s">
        <v>304</v>
      </c>
      <c r="D43" s="1" t="str">
        <f>HYPERLINK("http://eros.fiehnlab.ucdavis.edu:8080/binbase-compound/bin/show/233458?db=rtx5","233458")</f>
        <v>233458</v>
      </c>
      <c r="E43" s="1" t="s">
        <v>402</v>
      </c>
      <c r="F43" s="1" t="str">
        <f>HYPERLINK("http://www.genome.ad.jp/dbget-bin/www_bget?compound+C01601","C01601")</f>
        <v>C01601</v>
      </c>
      <c r="G43" s="1" t="str">
        <f>HYPERLINK("http://pubchem.ncbi.nlm.nih.gov/summary/summary.cgi?cid=8158","8158")</f>
        <v>8158</v>
      </c>
      <c r="H43" s="1"/>
      <c r="I43" s="8">
        <v>7600</v>
      </c>
      <c r="J43" s="8">
        <v>8649</v>
      </c>
      <c r="K43" s="8">
        <v>10472</v>
      </c>
      <c r="L43" s="8">
        <v>11398</v>
      </c>
      <c r="M43" s="8">
        <v>14173</v>
      </c>
      <c r="N43" s="8">
        <v>2005</v>
      </c>
      <c r="O43" s="8">
        <v>15159</v>
      </c>
      <c r="P43" s="8">
        <v>15623</v>
      </c>
      <c r="Q43" s="8">
        <v>11402</v>
      </c>
      <c r="R43" s="8">
        <v>13185</v>
      </c>
      <c r="S43" s="8">
        <v>17933</v>
      </c>
      <c r="T43" s="8">
        <v>1003</v>
      </c>
      <c r="U43" s="8">
        <v>11692</v>
      </c>
      <c r="V43" s="8">
        <v>13452</v>
      </c>
      <c r="W43" s="8">
        <v>7767</v>
      </c>
      <c r="X43" s="8">
        <v>13318</v>
      </c>
      <c r="Y43" s="8">
        <v>34007</v>
      </c>
      <c r="Z43" s="8">
        <v>11708</v>
      </c>
      <c r="AA43" s="8">
        <v>6426</v>
      </c>
      <c r="AB43" s="8">
        <v>12220</v>
      </c>
      <c r="AC43" s="8">
        <v>25272</v>
      </c>
      <c r="AD43" s="8">
        <v>37640</v>
      </c>
      <c r="AE43" s="8">
        <v>10475</v>
      </c>
      <c r="AF43" s="8">
        <v>1330</v>
      </c>
      <c r="AG43" s="8">
        <v>9245</v>
      </c>
      <c r="AH43" s="8">
        <v>9986</v>
      </c>
      <c r="AI43" s="8">
        <v>16862</v>
      </c>
      <c r="AJ43" s="8">
        <v>4970</v>
      </c>
      <c r="AK43" s="8">
        <v>1808</v>
      </c>
      <c r="AL43" s="8">
        <v>16904</v>
      </c>
      <c r="AM43" s="8">
        <v>12651</v>
      </c>
      <c r="AN43" s="8">
        <v>11384</v>
      </c>
      <c r="AO43" s="8">
        <v>14768</v>
      </c>
      <c r="AP43" s="8">
        <v>12373</v>
      </c>
      <c r="AQ43" s="8">
        <v>14142</v>
      </c>
      <c r="AR43" s="8">
        <v>8641</v>
      </c>
      <c r="AS43" s="8">
        <v>10893</v>
      </c>
      <c r="AT43" s="8">
        <v>13128</v>
      </c>
      <c r="AU43" s="8">
        <v>10443</v>
      </c>
      <c r="AV43" s="8">
        <v>11845</v>
      </c>
      <c r="AW43" s="8">
        <v>13030</v>
      </c>
      <c r="AX43" s="8">
        <v>9705</v>
      </c>
      <c r="AY43" s="8">
        <v>68544</v>
      </c>
      <c r="AZ43" s="8">
        <v>18627</v>
      </c>
      <c r="BA43" s="8">
        <v>16146</v>
      </c>
      <c r="BB43" s="8">
        <v>1214</v>
      </c>
      <c r="BC43" s="8">
        <v>1470</v>
      </c>
      <c r="BD43" s="8">
        <v>1640</v>
      </c>
      <c r="BE43" s="8">
        <v>10872</v>
      </c>
      <c r="BF43" s="8">
        <v>8144</v>
      </c>
      <c r="BG43" s="8">
        <v>13921</v>
      </c>
      <c r="BH43" s="8">
        <v>11146</v>
      </c>
      <c r="BI43" s="8">
        <v>16549</v>
      </c>
      <c r="BJ43" s="8">
        <v>8946</v>
      </c>
      <c r="BK43" s="8">
        <v>11467</v>
      </c>
      <c r="BL43" s="8">
        <v>14693</v>
      </c>
      <c r="BM43" s="8">
        <v>17952</v>
      </c>
      <c r="BN43" s="8">
        <v>9674</v>
      </c>
      <c r="BO43" s="8">
        <v>14694</v>
      </c>
      <c r="BP43" s="8">
        <v>9719</v>
      </c>
      <c r="BQ43" s="8">
        <v>9211</v>
      </c>
      <c r="BR43" s="8">
        <v>7635</v>
      </c>
      <c r="BS43" s="8">
        <v>8473</v>
      </c>
      <c r="BT43" s="8">
        <v>10004</v>
      </c>
      <c r="BU43" s="8">
        <v>11221</v>
      </c>
      <c r="BV43" s="8">
        <v>1390</v>
      </c>
      <c r="BW43" s="8">
        <v>11375</v>
      </c>
      <c r="BX43" s="8">
        <v>30595</v>
      </c>
      <c r="BY43" s="8">
        <v>11329</v>
      </c>
      <c r="BZ43" s="8">
        <v>14467</v>
      </c>
      <c r="CA43" s="8">
        <v>1503</v>
      </c>
      <c r="CB43" s="8">
        <v>14887</v>
      </c>
      <c r="CC43" s="8">
        <v>9188</v>
      </c>
      <c r="CD43" s="8">
        <v>7557</v>
      </c>
      <c r="CE43" s="8">
        <v>10146</v>
      </c>
      <c r="CF43" s="8">
        <v>26061</v>
      </c>
      <c r="CG43" s="8">
        <v>6267</v>
      </c>
      <c r="CH43" s="8">
        <v>1283</v>
      </c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</row>
    <row r="44" spans="1:165" x14ac:dyDescent="0.2">
      <c r="A44" s="1" t="s">
        <v>403</v>
      </c>
      <c r="B44" s="1" t="s">
        <v>404</v>
      </c>
      <c r="C44" s="1" t="s">
        <v>334</v>
      </c>
      <c r="D44" s="1" t="str">
        <f>HYPERLINK("http://eros.fiehnlab.ucdavis.edu:8080/binbase-compound/bin/show/205158?db=rtx5","205158")</f>
        <v>205158</v>
      </c>
      <c r="E44" s="1" t="s">
        <v>405</v>
      </c>
      <c r="F44" s="1" t="str">
        <f>HYPERLINK("http://www.genome.ad.jp/dbget-bin/www_bget?compound+C00864","C00864")</f>
        <v>C00864</v>
      </c>
      <c r="G44" s="1" t="str">
        <f>HYPERLINK("http://pubchem.ncbi.nlm.nih.gov/summary/summary.cgi?cid=6613","6613")</f>
        <v>6613</v>
      </c>
      <c r="H44" s="1"/>
      <c r="I44" s="8">
        <v>3005</v>
      </c>
      <c r="J44" s="8">
        <v>3857</v>
      </c>
      <c r="K44" s="8">
        <v>7230</v>
      </c>
      <c r="L44" s="8">
        <v>2525</v>
      </c>
      <c r="M44" s="8">
        <v>6306</v>
      </c>
      <c r="N44" s="8">
        <v>3371</v>
      </c>
      <c r="O44" s="8">
        <v>4075</v>
      </c>
      <c r="P44" s="8">
        <v>4410</v>
      </c>
      <c r="Q44" s="8">
        <v>4394</v>
      </c>
      <c r="R44" s="8">
        <v>4750</v>
      </c>
      <c r="S44" s="8">
        <v>4555</v>
      </c>
      <c r="T44" s="8">
        <v>4960</v>
      </c>
      <c r="U44" s="8">
        <v>4906</v>
      </c>
      <c r="V44" s="8">
        <v>5715</v>
      </c>
      <c r="W44" s="8">
        <v>4995</v>
      </c>
      <c r="X44" s="8">
        <v>5859</v>
      </c>
      <c r="Y44" s="8">
        <v>5006</v>
      </c>
      <c r="Z44" s="8">
        <v>5533</v>
      </c>
      <c r="AA44" s="8">
        <v>1466</v>
      </c>
      <c r="AB44" s="8">
        <v>1401</v>
      </c>
      <c r="AC44" s="8">
        <v>1572</v>
      </c>
      <c r="AD44" s="8">
        <v>1665</v>
      </c>
      <c r="AE44" s="8">
        <v>1925</v>
      </c>
      <c r="AF44" s="8">
        <v>2020</v>
      </c>
      <c r="AG44" s="8">
        <v>4731</v>
      </c>
      <c r="AH44" s="8">
        <v>6060</v>
      </c>
      <c r="AI44" s="8">
        <v>5337</v>
      </c>
      <c r="AJ44" s="8">
        <v>5735</v>
      </c>
      <c r="AK44" s="8">
        <v>4547</v>
      </c>
      <c r="AL44" s="8">
        <v>4263</v>
      </c>
      <c r="AM44" s="8">
        <v>4517</v>
      </c>
      <c r="AN44" s="8">
        <v>4243</v>
      </c>
      <c r="AO44" s="8">
        <v>4106</v>
      </c>
      <c r="AP44" s="8">
        <v>4117</v>
      </c>
      <c r="AQ44" s="8">
        <v>3780</v>
      </c>
      <c r="AR44" s="8">
        <v>3412</v>
      </c>
      <c r="AS44" s="8">
        <v>6716</v>
      </c>
      <c r="AT44" s="8">
        <v>7337</v>
      </c>
      <c r="AU44" s="8">
        <v>6138</v>
      </c>
      <c r="AV44" s="8">
        <v>6730</v>
      </c>
      <c r="AW44" s="8">
        <v>7381</v>
      </c>
      <c r="AX44" s="8">
        <v>6144</v>
      </c>
      <c r="AY44" s="8">
        <v>1386</v>
      </c>
      <c r="AZ44" s="8">
        <v>1460</v>
      </c>
      <c r="BA44" s="8">
        <v>1373</v>
      </c>
      <c r="BB44" s="8">
        <v>1592</v>
      </c>
      <c r="BC44" s="8">
        <v>1628</v>
      </c>
      <c r="BD44" s="8">
        <v>1216</v>
      </c>
      <c r="BE44" s="8">
        <v>6477</v>
      </c>
      <c r="BF44" s="8">
        <v>7254</v>
      </c>
      <c r="BG44" s="8">
        <v>5870</v>
      </c>
      <c r="BH44" s="8">
        <v>5713</v>
      </c>
      <c r="BI44" s="8">
        <v>6707</v>
      </c>
      <c r="BJ44" s="8">
        <v>5923</v>
      </c>
      <c r="BK44" s="8">
        <v>4096</v>
      </c>
      <c r="BL44" s="8">
        <v>3782</v>
      </c>
      <c r="BM44" s="8">
        <v>4257</v>
      </c>
      <c r="BN44" s="8">
        <v>3515</v>
      </c>
      <c r="BO44" s="8">
        <v>4609</v>
      </c>
      <c r="BP44" s="8">
        <v>4123</v>
      </c>
      <c r="BQ44" s="8">
        <v>6474</v>
      </c>
      <c r="BR44" s="8">
        <v>5829</v>
      </c>
      <c r="BS44" s="8">
        <v>5936</v>
      </c>
      <c r="BT44" s="8">
        <v>5001</v>
      </c>
      <c r="BU44" s="8">
        <v>5139</v>
      </c>
      <c r="BV44" s="8">
        <v>5143</v>
      </c>
      <c r="BW44" s="8">
        <v>2205</v>
      </c>
      <c r="BX44" s="8">
        <v>1899</v>
      </c>
      <c r="BY44" s="8">
        <v>2054</v>
      </c>
      <c r="BZ44" s="8">
        <v>2670</v>
      </c>
      <c r="CA44" s="8">
        <v>1875</v>
      </c>
      <c r="CB44" s="8">
        <v>2103</v>
      </c>
      <c r="CC44" s="8">
        <v>5749</v>
      </c>
      <c r="CD44" s="8">
        <v>5432</v>
      </c>
      <c r="CE44" s="8">
        <v>5401</v>
      </c>
      <c r="CF44" s="8">
        <v>4773</v>
      </c>
      <c r="CG44" s="8">
        <v>5931</v>
      </c>
      <c r="CH44" s="8">
        <v>5545</v>
      </c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9"/>
      <c r="DA44" s="9"/>
      <c r="DB44" s="9"/>
      <c r="DC44" s="9"/>
      <c r="DD44" s="9"/>
      <c r="DE44" s="9"/>
      <c r="DF44" s="9"/>
      <c r="DG44" s="9"/>
      <c r="DH44" s="9"/>
      <c r="DI44" s="9"/>
      <c r="DJ44" s="9"/>
      <c r="DK44" s="9"/>
      <c r="DL44" s="9"/>
      <c r="DM44" s="9"/>
      <c r="DN44" s="9"/>
      <c r="DO44" s="9"/>
      <c r="DP44" s="9"/>
      <c r="DQ44" s="9"/>
      <c r="DR44" s="9"/>
      <c r="DS44" s="9"/>
      <c r="DT44" s="9"/>
      <c r="DU44" s="9"/>
      <c r="DV44" s="9"/>
      <c r="DW44" s="9"/>
      <c r="DX44" s="9"/>
      <c r="DY44" s="9"/>
      <c r="DZ44" s="9"/>
      <c r="EA44" s="9"/>
      <c r="EB44" s="9"/>
      <c r="EC44" s="9"/>
      <c r="ED44" s="9"/>
      <c r="EE44" s="9"/>
      <c r="EF44" s="9"/>
      <c r="EG44" s="9"/>
      <c r="EH44" s="9"/>
      <c r="EI44" s="9"/>
      <c r="EJ44" s="9"/>
      <c r="EK44" s="9"/>
      <c r="EL44" s="9"/>
      <c r="EM44" s="9"/>
      <c r="EN44" s="9"/>
      <c r="EO44" s="9"/>
      <c r="EP44" s="9"/>
      <c r="EQ44" s="9"/>
      <c r="ER44" s="9"/>
      <c r="ES44" s="9"/>
      <c r="ET44" s="9"/>
      <c r="EU44" s="9"/>
      <c r="EV44" s="9"/>
      <c r="EW44" s="9"/>
      <c r="EX44" s="9"/>
      <c r="EY44" s="9"/>
      <c r="EZ44" s="9"/>
      <c r="FA44" s="9"/>
      <c r="FB44" s="9"/>
      <c r="FC44" s="9"/>
      <c r="FD44" s="9"/>
      <c r="FE44" s="9"/>
      <c r="FF44" s="9"/>
      <c r="FG44" s="9"/>
      <c r="FH44" s="9"/>
      <c r="FI44" s="9"/>
    </row>
    <row r="45" spans="1:165" x14ac:dyDescent="0.2">
      <c r="A45" s="1" t="s">
        <v>406</v>
      </c>
      <c r="B45" s="1" t="s">
        <v>407</v>
      </c>
      <c r="C45" s="1" t="s">
        <v>408</v>
      </c>
      <c r="D45" s="1" t="str">
        <f>HYPERLINK("http://eros.fiehnlab.ucdavis.edu:8080/binbase-compound/bin/show/199173?db=rtx5","199173")</f>
        <v>199173</v>
      </c>
      <c r="E45" s="1" t="s">
        <v>409</v>
      </c>
      <c r="F45" s="1" t="str">
        <f>HYPERLINK("http://www.genome.ad.jp/dbget-bin/www_bget?compound+C00249","C00249")</f>
        <v>C00249</v>
      </c>
      <c r="G45" s="1" t="str">
        <f>HYPERLINK("http://pubchem.ncbi.nlm.nih.gov/summary/summary.cgi?cid=985","985")</f>
        <v>985</v>
      </c>
      <c r="H45" s="1"/>
      <c r="I45" s="8">
        <v>10532</v>
      </c>
      <c r="J45" s="8">
        <v>6528</v>
      </c>
      <c r="K45" s="8">
        <v>7445</v>
      </c>
      <c r="L45" s="8">
        <v>9273</v>
      </c>
      <c r="M45" s="8">
        <v>11137</v>
      </c>
      <c r="N45" s="8">
        <v>10542</v>
      </c>
      <c r="O45" s="8">
        <v>9071</v>
      </c>
      <c r="P45" s="8">
        <v>11936</v>
      </c>
      <c r="Q45" s="8">
        <v>8746</v>
      </c>
      <c r="R45" s="8">
        <v>9802</v>
      </c>
      <c r="S45" s="8">
        <v>8412</v>
      </c>
      <c r="T45" s="8">
        <v>9809</v>
      </c>
      <c r="U45" s="8">
        <v>6718</v>
      </c>
      <c r="V45" s="8">
        <v>9297</v>
      </c>
      <c r="W45" s="8">
        <v>8016</v>
      </c>
      <c r="X45" s="8">
        <v>13801</v>
      </c>
      <c r="Y45" s="8">
        <v>8934</v>
      </c>
      <c r="Z45" s="8">
        <v>14189</v>
      </c>
      <c r="AA45" s="8">
        <v>6304</v>
      </c>
      <c r="AB45" s="8">
        <v>9866</v>
      </c>
      <c r="AC45" s="8">
        <v>8010</v>
      </c>
      <c r="AD45" s="8">
        <v>11347</v>
      </c>
      <c r="AE45" s="8">
        <v>7527</v>
      </c>
      <c r="AF45" s="8">
        <v>6908</v>
      </c>
      <c r="AG45" s="8">
        <v>8429</v>
      </c>
      <c r="AH45" s="8">
        <v>5635</v>
      </c>
      <c r="AI45" s="8">
        <v>6550</v>
      </c>
      <c r="AJ45" s="8">
        <v>9909</v>
      </c>
      <c r="AK45" s="8">
        <v>10064</v>
      </c>
      <c r="AL45" s="8">
        <v>9475</v>
      </c>
      <c r="AM45" s="8">
        <v>9335</v>
      </c>
      <c r="AN45" s="8">
        <v>8117</v>
      </c>
      <c r="AO45" s="8">
        <v>13179</v>
      </c>
      <c r="AP45" s="8">
        <v>11121</v>
      </c>
      <c r="AQ45" s="8">
        <v>8698</v>
      </c>
      <c r="AR45" s="8">
        <v>7510</v>
      </c>
      <c r="AS45" s="8">
        <v>11705</v>
      </c>
      <c r="AT45" s="8">
        <v>7678</v>
      </c>
      <c r="AU45" s="8">
        <v>10905</v>
      </c>
      <c r="AV45" s="8">
        <v>11002</v>
      </c>
      <c r="AW45" s="8">
        <v>10392</v>
      </c>
      <c r="AX45" s="8">
        <v>8472</v>
      </c>
      <c r="AY45" s="8">
        <v>11777</v>
      </c>
      <c r="AZ45" s="8">
        <v>10600</v>
      </c>
      <c r="BA45" s="8">
        <v>13903</v>
      </c>
      <c r="BB45" s="8">
        <v>15705</v>
      </c>
      <c r="BC45" s="8">
        <v>13287</v>
      </c>
      <c r="BD45" s="8">
        <v>10058</v>
      </c>
      <c r="BE45" s="8">
        <v>10614</v>
      </c>
      <c r="BF45" s="8">
        <v>8750</v>
      </c>
      <c r="BG45" s="8">
        <v>11213</v>
      </c>
      <c r="BH45" s="8">
        <v>5449</v>
      </c>
      <c r="BI45" s="8">
        <v>10367</v>
      </c>
      <c r="BJ45" s="8">
        <v>8720</v>
      </c>
      <c r="BK45" s="8">
        <v>9775</v>
      </c>
      <c r="BL45" s="8">
        <v>11571</v>
      </c>
      <c r="BM45" s="8">
        <v>11528</v>
      </c>
      <c r="BN45" s="8">
        <v>7622</v>
      </c>
      <c r="BO45" s="8">
        <v>11537</v>
      </c>
      <c r="BP45" s="8">
        <v>10446</v>
      </c>
      <c r="BQ45" s="8">
        <v>11447</v>
      </c>
      <c r="BR45" s="8">
        <v>14657</v>
      </c>
      <c r="BS45" s="8">
        <v>11840</v>
      </c>
      <c r="BT45" s="8">
        <v>9805</v>
      </c>
      <c r="BU45" s="8">
        <v>13427</v>
      </c>
      <c r="BV45" s="8">
        <v>7258</v>
      </c>
      <c r="BW45" s="8">
        <v>7640</v>
      </c>
      <c r="BX45" s="8">
        <v>11479</v>
      </c>
      <c r="BY45" s="8">
        <v>6830</v>
      </c>
      <c r="BZ45" s="8">
        <v>11399</v>
      </c>
      <c r="CA45" s="8">
        <v>11608</v>
      </c>
      <c r="CB45" s="8">
        <v>9650</v>
      </c>
      <c r="CC45" s="8">
        <v>6016</v>
      </c>
      <c r="CD45" s="8">
        <v>23489</v>
      </c>
      <c r="CE45" s="8">
        <v>9988</v>
      </c>
      <c r="CF45" s="8">
        <v>8258</v>
      </c>
      <c r="CG45" s="8">
        <v>6914</v>
      </c>
      <c r="CH45" s="8">
        <v>8052</v>
      </c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</row>
    <row r="46" spans="1:165" x14ac:dyDescent="0.2">
      <c r="A46" s="1" t="s">
        <v>410</v>
      </c>
      <c r="B46" s="1" t="s">
        <v>411</v>
      </c>
      <c r="C46" s="1" t="s">
        <v>412</v>
      </c>
      <c r="D46" s="1" t="str">
        <f>HYPERLINK("http://eros.fiehnlab.ucdavis.edu:8080/binbase-compound/bin/show/199593?db=rtx5","199593")</f>
        <v>199593</v>
      </c>
      <c r="E46" s="1" t="s">
        <v>413</v>
      </c>
      <c r="F46" s="1" t="str">
        <f>HYPERLINK("http://www.genome.ad.jp/dbget-bin/www_bget?compound+C01879","C01879")</f>
        <v>C01879</v>
      </c>
      <c r="G46" s="1" t="str">
        <f>HYPERLINK("http://pubchem.ncbi.nlm.nih.gov/summary/summary.cgi?cid=7405","7405")</f>
        <v>7405</v>
      </c>
      <c r="H46" s="1"/>
      <c r="I46" s="8">
        <v>152622</v>
      </c>
      <c r="J46" s="8">
        <v>195562</v>
      </c>
      <c r="K46" s="8">
        <v>187690</v>
      </c>
      <c r="L46" s="8">
        <v>243438</v>
      </c>
      <c r="M46" s="8">
        <v>209171</v>
      </c>
      <c r="N46" s="8">
        <v>251883</v>
      </c>
      <c r="O46" s="8">
        <v>295661</v>
      </c>
      <c r="P46" s="8">
        <v>341542</v>
      </c>
      <c r="Q46" s="8">
        <v>253062</v>
      </c>
      <c r="R46" s="8">
        <v>346623</v>
      </c>
      <c r="S46" s="8">
        <v>335733</v>
      </c>
      <c r="T46" s="8">
        <v>370042</v>
      </c>
      <c r="U46" s="8">
        <v>316461</v>
      </c>
      <c r="V46" s="8">
        <v>287508</v>
      </c>
      <c r="W46" s="8">
        <v>204570</v>
      </c>
      <c r="X46" s="8">
        <v>265267</v>
      </c>
      <c r="Y46" s="8">
        <v>346247</v>
      </c>
      <c r="Z46" s="8">
        <v>367226</v>
      </c>
      <c r="AA46" s="8">
        <v>135880</v>
      </c>
      <c r="AB46" s="8">
        <v>207604</v>
      </c>
      <c r="AC46" s="8">
        <v>153013</v>
      </c>
      <c r="AD46" s="8">
        <v>228542</v>
      </c>
      <c r="AE46" s="8">
        <v>117592</v>
      </c>
      <c r="AF46" s="8">
        <v>198656</v>
      </c>
      <c r="AG46" s="8">
        <v>194084</v>
      </c>
      <c r="AH46" s="8">
        <v>290052</v>
      </c>
      <c r="AI46" s="8">
        <v>297906</v>
      </c>
      <c r="AJ46" s="8">
        <v>213772</v>
      </c>
      <c r="AK46" s="8">
        <v>268741</v>
      </c>
      <c r="AL46" s="8">
        <v>365189</v>
      </c>
      <c r="AM46" s="8">
        <v>291830</v>
      </c>
      <c r="AN46" s="8">
        <v>300554</v>
      </c>
      <c r="AO46" s="8">
        <v>402224</v>
      </c>
      <c r="AP46" s="8">
        <v>271065</v>
      </c>
      <c r="AQ46" s="8">
        <v>346223</v>
      </c>
      <c r="AR46" s="8">
        <v>396990</v>
      </c>
      <c r="AS46" s="8">
        <v>284816</v>
      </c>
      <c r="AT46" s="8">
        <v>320068</v>
      </c>
      <c r="AU46" s="8">
        <v>384025</v>
      </c>
      <c r="AV46" s="8">
        <v>375909</v>
      </c>
      <c r="AW46" s="8">
        <v>248637</v>
      </c>
      <c r="AX46" s="8">
        <v>333602</v>
      </c>
      <c r="AY46" s="8">
        <v>201214</v>
      </c>
      <c r="AZ46" s="8">
        <v>155585</v>
      </c>
      <c r="BA46" s="8">
        <v>188492</v>
      </c>
      <c r="BB46" s="8">
        <v>212231</v>
      </c>
      <c r="BC46" s="8">
        <v>189362</v>
      </c>
      <c r="BD46" s="8">
        <v>255020</v>
      </c>
      <c r="BE46" s="8">
        <v>216892</v>
      </c>
      <c r="BF46" s="8">
        <v>279838</v>
      </c>
      <c r="BG46" s="8">
        <v>264076</v>
      </c>
      <c r="BH46" s="8">
        <v>261459</v>
      </c>
      <c r="BI46" s="8">
        <v>252236</v>
      </c>
      <c r="BJ46" s="8">
        <v>257125</v>
      </c>
      <c r="BK46" s="8">
        <v>257538</v>
      </c>
      <c r="BL46" s="8">
        <v>327836</v>
      </c>
      <c r="BM46" s="8">
        <v>332663</v>
      </c>
      <c r="BN46" s="8">
        <v>202934</v>
      </c>
      <c r="BO46" s="8">
        <v>197759</v>
      </c>
      <c r="BP46" s="8">
        <v>278655</v>
      </c>
      <c r="BQ46" s="8">
        <v>236257</v>
      </c>
      <c r="BR46" s="8">
        <v>256258</v>
      </c>
      <c r="BS46" s="8">
        <v>227800</v>
      </c>
      <c r="BT46" s="8">
        <v>257472</v>
      </c>
      <c r="BU46" s="8">
        <v>313722</v>
      </c>
      <c r="BV46" s="8">
        <v>366971</v>
      </c>
      <c r="BW46" s="8">
        <v>130415</v>
      </c>
      <c r="BX46" s="8">
        <v>180595</v>
      </c>
      <c r="BY46" s="8">
        <v>232583</v>
      </c>
      <c r="BZ46" s="8">
        <v>107696</v>
      </c>
      <c r="CA46" s="8">
        <v>137663</v>
      </c>
      <c r="CB46" s="8">
        <v>195303</v>
      </c>
      <c r="CC46" s="8">
        <v>212894</v>
      </c>
      <c r="CD46" s="8">
        <v>232437</v>
      </c>
      <c r="CE46" s="8">
        <v>259024</v>
      </c>
      <c r="CF46" s="8">
        <v>289038</v>
      </c>
      <c r="CG46" s="8">
        <v>180150</v>
      </c>
      <c r="CH46" s="8">
        <v>236255</v>
      </c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9"/>
      <c r="DA46" s="9"/>
      <c r="DB46" s="9"/>
      <c r="DC46" s="9"/>
      <c r="DD46" s="9"/>
      <c r="DE46" s="9"/>
      <c r="DF46" s="9"/>
      <c r="DG46" s="9"/>
      <c r="DH46" s="9"/>
      <c r="DI46" s="9"/>
      <c r="DJ46" s="9"/>
      <c r="DK46" s="9"/>
      <c r="DL46" s="9"/>
      <c r="DM46" s="9"/>
      <c r="DN46" s="9"/>
      <c r="DO46" s="9"/>
      <c r="DP46" s="9"/>
      <c r="DQ46" s="9"/>
      <c r="DR46" s="9"/>
      <c r="DS46" s="9"/>
      <c r="DT46" s="9"/>
      <c r="DU46" s="9"/>
      <c r="DV46" s="9"/>
      <c r="DW46" s="9"/>
      <c r="DX46" s="9"/>
      <c r="DY46" s="9"/>
      <c r="DZ46" s="9"/>
      <c r="EA46" s="9"/>
      <c r="EB46" s="9"/>
      <c r="EC46" s="9"/>
      <c r="ED46" s="9"/>
      <c r="EE46" s="9"/>
      <c r="EF46" s="9"/>
      <c r="EG46" s="9"/>
      <c r="EH46" s="9"/>
      <c r="EI46" s="9"/>
      <c r="EJ46" s="9"/>
      <c r="EK46" s="9"/>
      <c r="EL46" s="9"/>
      <c r="EM46" s="9"/>
      <c r="EN46" s="9"/>
      <c r="EO46" s="9"/>
      <c r="EP46" s="9"/>
      <c r="EQ46" s="9"/>
      <c r="ER46" s="9"/>
      <c r="ES46" s="9"/>
      <c r="ET46" s="9"/>
      <c r="EU46" s="9"/>
      <c r="EV46" s="9"/>
      <c r="EW46" s="9"/>
      <c r="EX46" s="9"/>
      <c r="EY46" s="9"/>
      <c r="EZ46" s="9"/>
      <c r="FA46" s="9"/>
      <c r="FB46" s="9"/>
      <c r="FC46" s="9"/>
      <c r="FD46" s="9"/>
      <c r="FE46" s="9"/>
      <c r="FF46" s="9"/>
      <c r="FG46" s="9"/>
      <c r="FH46" s="9"/>
      <c r="FI46" s="9"/>
    </row>
    <row r="47" spans="1:165" x14ac:dyDescent="0.2">
      <c r="A47" s="1" t="s">
        <v>416</v>
      </c>
      <c r="B47" s="1" t="s">
        <v>414</v>
      </c>
      <c r="C47" s="1" t="s">
        <v>294</v>
      </c>
      <c r="D47" s="1" t="str">
        <f>HYPERLINK("http://eros.fiehnlab.ucdavis.edu:8080/binbase-compound/bin/show/202826?db=rtx5","202826")</f>
        <v>202826</v>
      </c>
      <c r="E47" s="1" t="s">
        <v>415</v>
      </c>
      <c r="F47" s="1" t="str">
        <f>HYPERLINK("http://www.genome.ad.jp/dbget-bin/www_bget?compound+C00077","C00077")</f>
        <v>C00077</v>
      </c>
      <c r="G47" s="1" t="str">
        <f>HYPERLINK("http://pubchem.ncbi.nlm.nih.gov/summary/summary.cgi?cid=6262","6262")</f>
        <v>6262</v>
      </c>
      <c r="H47" s="1"/>
      <c r="I47" s="8">
        <v>9446</v>
      </c>
      <c r="J47" s="8">
        <v>7107</v>
      </c>
      <c r="K47" s="8">
        <v>6361</v>
      </c>
      <c r="L47" s="8">
        <v>7818</v>
      </c>
      <c r="M47" s="8">
        <v>2912</v>
      </c>
      <c r="N47" s="8">
        <v>3625</v>
      </c>
      <c r="O47" s="8">
        <v>8137</v>
      </c>
      <c r="P47" s="8">
        <v>8267</v>
      </c>
      <c r="Q47" s="8">
        <v>2615</v>
      </c>
      <c r="R47" s="8">
        <v>2506</v>
      </c>
      <c r="S47" s="8">
        <v>2772</v>
      </c>
      <c r="T47" s="8">
        <v>2640</v>
      </c>
      <c r="U47" s="8">
        <v>8311</v>
      </c>
      <c r="V47" s="8">
        <v>8013</v>
      </c>
      <c r="W47" s="8">
        <v>6934</v>
      </c>
      <c r="X47" s="8">
        <v>2349</v>
      </c>
      <c r="Y47" s="8">
        <v>2029</v>
      </c>
      <c r="Z47" s="8">
        <v>2217</v>
      </c>
      <c r="AA47" s="8">
        <v>9925</v>
      </c>
      <c r="AB47" s="8">
        <v>9950</v>
      </c>
      <c r="AC47" s="8">
        <v>10036</v>
      </c>
      <c r="AD47" s="8">
        <v>7081</v>
      </c>
      <c r="AE47" s="8">
        <v>11813</v>
      </c>
      <c r="AF47" s="8">
        <v>3637</v>
      </c>
      <c r="AG47" s="8">
        <v>9135</v>
      </c>
      <c r="AH47" s="8">
        <v>8234</v>
      </c>
      <c r="AI47" s="8">
        <v>7717</v>
      </c>
      <c r="AJ47" s="8">
        <v>8966</v>
      </c>
      <c r="AK47" s="8">
        <v>2191</v>
      </c>
      <c r="AL47" s="8">
        <v>2451</v>
      </c>
      <c r="AM47" s="8">
        <v>8998</v>
      </c>
      <c r="AN47" s="8">
        <v>8498</v>
      </c>
      <c r="AO47" s="8">
        <v>7484</v>
      </c>
      <c r="AP47" s="8">
        <v>8959</v>
      </c>
      <c r="AQ47" s="8">
        <v>2539</v>
      </c>
      <c r="AR47" s="8">
        <v>3105</v>
      </c>
      <c r="AS47" s="8">
        <v>8363</v>
      </c>
      <c r="AT47" s="8">
        <v>7669</v>
      </c>
      <c r="AU47" s="8">
        <v>6444</v>
      </c>
      <c r="AV47" s="8">
        <v>7077</v>
      </c>
      <c r="AW47" s="8">
        <v>9043</v>
      </c>
      <c r="AX47" s="8">
        <v>1831</v>
      </c>
      <c r="AY47" s="8">
        <v>9725</v>
      </c>
      <c r="AZ47" s="8">
        <v>13385</v>
      </c>
      <c r="BA47" s="8">
        <v>3713</v>
      </c>
      <c r="BB47" s="8">
        <v>3658</v>
      </c>
      <c r="BC47" s="8">
        <v>4276</v>
      </c>
      <c r="BD47" s="8">
        <v>4214</v>
      </c>
      <c r="BE47" s="8">
        <v>9820</v>
      </c>
      <c r="BF47" s="8">
        <v>6891</v>
      </c>
      <c r="BG47" s="8">
        <v>8203</v>
      </c>
      <c r="BH47" s="8">
        <v>7925</v>
      </c>
      <c r="BI47" s="8">
        <v>2495</v>
      </c>
      <c r="BJ47" s="8">
        <v>2594</v>
      </c>
      <c r="BK47" s="8">
        <v>8468</v>
      </c>
      <c r="BL47" s="8">
        <v>7334</v>
      </c>
      <c r="BM47" s="8">
        <v>6355</v>
      </c>
      <c r="BN47" s="8">
        <v>8463</v>
      </c>
      <c r="BO47" s="8">
        <v>9309</v>
      </c>
      <c r="BP47" s="8">
        <v>7296</v>
      </c>
      <c r="BQ47" s="8">
        <v>9132</v>
      </c>
      <c r="BR47" s="8">
        <v>8807</v>
      </c>
      <c r="BS47" s="8">
        <v>9383</v>
      </c>
      <c r="BT47" s="8">
        <v>3616</v>
      </c>
      <c r="BU47" s="8">
        <v>3477</v>
      </c>
      <c r="BV47" s="8">
        <v>3826</v>
      </c>
      <c r="BW47" s="8">
        <v>8363</v>
      </c>
      <c r="BX47" s="8">
        <v>7882</v>
      </c>
      <c r="BY47" s="8">
        <v>7636</v>
      </c>
      <c r="BZ47" s="8">
        <v>9847</v>
      </c>
      <c r="CA47" s="8">
        <v>4579</v>
      </c>
      <c r="CB47" s="8">
        <v>6937</v>
      </c>
      <c r="CC47" s="8">
        <v>8935</v>
      </c>
      <c r="CD47" s="8">
        <v>13244</v>
      </c>
      <c r="CE47" s="8">
        <v>8515</v>
      </c>
      <c r="CF47" s="8">
        <v>7415</v>
      </c>
      <c r="CG47" s="8">
        <v>9483</v>
      </c>
      <c r="CH47" s="8">
        <v>3880</v>
      </c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9"/>
      <c r="DA47" s="9"/>
      <c r="DB47" s="9"/>
      <c r="DC47" s="9"/>
      <c r="DD47" s="9"/>
      <c r="DE47" s="9"/>
      <c r="DF47" s="9"/>
      <c r="DG47" s="9"/>
      <c r="DH47" s="9"/>
      <c r="DI47" s="9"/>
      <c r="DJ47" s="9"/>
      <c r="DK47" s="9"/>
      <c r="DL47" s="9"/>
      <c r="DM47" s="9"/>
      <c r="DN47" s="9"/>
      <c r="DO47" s="9"/>
      <c r="DP47" s="9"/>
      <c r="DQ47" s="9"/>
      <c r="DR47" s="9"/>
      <c r="DS47" s="9"/>
      <c r="DT47" s="9"/>
      <c r="DU47" s="9"/>
      <c r="DV47" s="9"/>
      <c r="DW47" s="9"/>
      <c r="DX47" s="9"/>
      <c r="DY47" s="9"/>
      <c r="DZ47" s="9"/>
      <c r="EA47" s="9"/>
      <c r="EB47" s="9"/>
      <c r="EC47" s="9"/>
      <c r="ED47" s="9"/>
      <c r="EE47" s="9"/>
      <c r="EF47" s="9"/>
      <c r="EG47" s="9"/>
      <c r="EH47" s="9"/>
      <c r="EI47" s="9"/>
      <c r="EJ47" s="9"/>
      <c r="EK47" s="9"/>
      <c r="EL47" s="9"/>
      <c r="EM47" s="9"/>
      <c r="EN47" s="9"/>
      <c r="EO47" s="9"/>
      <c r="EP47" s="9"/>
      <c r="EQ47" s="9"/>
      <c r="ER47" s="9"/>
      <c r="ES47" s="9"/>
      <c r="ET47" s="9"/>
      <c r="EU47" s="9"/>
      <c r="EV47" s="9"/>
      <c r="EW47" s="9"/>
      <c r="EX47" s="9"/>
      <c r="EY47" s="9"/>
      <c r="EZ47" s="9"/>
      <c r="FA47" s="9"/>
      <c r="FB47" s="9"/>
      <c r="FC47" s="9"/>
      <c r="FD47" s="9"/>
      <c r="FE47" s="9"/>
      <c r="FF47" s="9"/>
      <c r="FG47" s="9"/>
      <c r="FH47" s="9"/>
      <c r="FI47" s="9"/>
    </row>
    <row r="48" spans="1:165" x14ac:dyDescent="0.2">
      <c r="A48" s="1" t="s">
        <v>417</v>
      </c>
      <c r="B48" s="1" t="s">
        <v>418</v>
      </c>
      <c r="C48" s="1" t="s">
        <v>419</v>
      </c>
      <c r="D48" s="1" t="str">
        <f>HYPERLINK("http://eros.fiehnlab.ucdavis.edu:8080/binbase-compound/bin/show/199610?db=rtx5","199610")</f>
        <v>199610</v>
      </c>
      <c r="E48" s="1" t="s">
        <v>420</v>
      </c>
      <c r="F48" s="1" t="str">
        <f>HYPERLINK("http://www.genome.ad.jp/dbget-bin/www_bget?compound+C00712","C00712")</f>
        <v>C00712</v>
      </c>
      <c r="G48" s="1" t="str">
        <f>HYPERLINK("http://pubchem.ncbi.nlm.nih.gov/summary/summary.cgi?cid=445639","445639")</f>
        <v>445639</v>
      </c>
      <c r="H48" s="1"/>
      <c r="I48" s="8">
        <v>499</v>
      </c>
      <c r="J48" s="8">
        <v>480</v>
      </c>
      <c r="K48" s="8">
        <v>440</v>
      </c>
      <c r="L48" s="8">
        <v>296</v>
      </c>
      <c r="M48" s="8">
        <v>531</v>
      </c>
      <c r="N48" s="8">
        <v>411</v>
      </c>
      <c r="O48" s="8">
        <v>152</v>
      </c>
      <c r="P48" s="8">
        <v>729</v>
      </c>
      <c r="Q48" s="8">
        <v>768</v>
      </c>
      <c r="R48" s="8">
        <v>440</v>
      </c>
      <c r="S48" s="8">
        <v>258</v>
      </c>
      <c r="T48" s="8">
        <v>424</v>
      </c>
      <c r="U48" s="8">
        <v>475</v>
      </c>
      <c r="V48" s="8">
        <v>445</v>
      </c>
      <c r="W48" s="8">
        <v>452</v>
      </c>
      <c r="X48" s="8">
        <v>647</v>
      </c>
      <c r="Y48" s="8">
        <v>443</v>
      </c>
      <c r="Z48" s="8">
        <v>451</v>
      </c>
      <c r="AA48" s="8">
        <v>368</v>
      </c>
      <c r="AB48" s="8">
        <v>488</v>
      </c>
      <c r="AC48" s="8">
        <v>449</v>
      </c>
      <c r="AD48" s="8">
        <v>439</v>
      </c>
      <c r="AE48" s="8">
        <v>440</v>
      </c>
      <c r="AF48" s="8">
        <v>487</v>
      </c>
      <c r="AG48" s="8">
        <v>464</v>
      </c>
      <c r="AH48" s="8">
        <v>427</v>
      </c>
      <c r="AI48" s="8">
        <v>110</v>
      </c>
      <c r="AJ48" s="8">
        <v>644</v>
      </c>
      <c r="AK48" s="8">
        <v>658</v>
      </c>
      <c r="AL48" s="8">
        <v>17</v>
      </c>
      <c r="AM48" s="8">
        <v>1230</v>
      </c>
      <c r="AN48" s="8">
        <v>370</v>
      </c>
      <c r="AO48" s="8">
        <v>744</v>
      </c>
      <c r="AP48" s="8">
        <v>661</v>
      </c>
      <c r="AQ48" s="8">
        <v>648</v>
      </c>
      <c r="AR48" s="8">
        <v>504</v>
      </c>
      <c r="AS48" s="8">
        <v>545</v>
      </c>
      <c r="AT48" s="8">
        <v>415</v>
      </c>
      <c r="AU48" s="8">
        <v>774</v>
      </c>
      <c r="AV48" s="8">
        <v>549</v>
      </c>
      <c r="AW48" s="8">
        <v>635</v>
      </c>
      <c r="AX48" s="8">
        <v>687</v>
      </c>
      <c r="AY48" s="8">
        <v>576</v>
      </c>
      <c r="AZ48" s="8">
        <v>411</v>
      </c>
      <c r="BA48" s="8">
        <v>247</v>
      </c>
      <c r="BB48" s="8">
        <v>488</v>
      </c>
      <c r="BC48" s="8">
        <v>698</v>
      </c>
      <c r="BD48" s="8">
        <v>666</v>
      </c>
      <c r="BE48" s="8">
        <v>571</v>
      </c>
      <c r="BF48" s="8">
        <v>369</v>
      </c>
      <c r="BG48" s="8">
        <v>461</v>
      </c>
      <c r="BH48" s="8">
        <v>499</v>
      </c>
      <c r="BI48" s="8">
        <v>571</v>
      </c>
      <c r="BJ48" s="8">
        <v>317</v>
      </c>
      <c r="BK48" s="8">
        <v>605</v>
      </c>
      <c r="BL48" s="8">
        <v>663</v>
      </c>
      <c r="BM48" s="8">
        <v>653</v>
      </c>
      <c r="BN48" s="8">
        <v>135</v>
      </c>
      <c r="BO48" s="8">
        <v>594</v>
      </c>
      <c r="BP48" s="8">
        <v>510</v>
      </c>
      <c r="BQ48" s="8">
        <v>478</v>
      </c>
      <c r="BR48" s="8">
        <v>250</v>
      </c>
      <c r="BS48" s="8">
        <v>378</v>
      </c>
      <c r="BT48" s="8">
        <v>344</v>
      </c>
      <c r="BU48" s="8">
        <v>255</v>
      </c>
      <c r="BV48" s="8">
        <v>405</v>
      </c>
      <c r="BW48" s="8">
        <v>562</v>
      </c>
      <c r="BX48" s="8">
        <v>699</v>
      </c>
      <c r="BY48" s="8">
        <v>353</v>
      </c>
      <c r="BZ48" s="8">
        <v>574</v>
      </c>
      <c r="CA48" s="8">
        <v>639</v>
      </c>
      <c r="CB48" s="8">
        <v>469</v>
      </c>
      <c r="CC48" s="8">
        <v>398</v>
      </c>
      <c r="CD48" s="8">
        <v>3628</v>
      </c>
      <c r="CE48" s="8">
        <v>423</v>
      </c>
      <c r="CF48" s="8">
        <v>494</v>
      </c>
      <c r="CG48" s="8">
        <v>544</v>
      </c>
      <c r="CH48" s="8">
        <v>591</v>
      </c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9"/>
      <c r="DA48" s="9"/>
      <c r="DB48" s="9"/>
      <c r="DC48" s="9"/>
      <c r="DD48" s="9"/>
      <c r="DE48" s="9"/>
      <c r="DF48" s="9"/>
      <c r="DG48" s="9"/>
      <c r="DH48" s="9"/>
      <c r="DI48" s="9"/>
      <c r="DJ48" s="9"/>
      <c r="DK48" s="9"/>
      <c r="DL48" s="9"/>
      <c r="DM48" s="9"/>
      <c r="DN48" s="9"/>
      <c r="DO48" s="9"/>
      <c r="DP48" s="9"/>
      <c r="DQ48" s="9"/>
      <c r="DR48" s="9"/>
      <c r="DS48" s="9"/>
      <c r="DT48" s="9"/>
      <c r="DU48" s="9"/>
      <c r="DV48" s="9"/>
      <c r="DW48" s="9"/>
      <c r="DX48" s="9"/>
      <c r="DY48" s="9"/>
      <c r="DZ48" s="9"/>
      <c r="EA48" s="9"/>
      <c r="EB48" s="9"/>
      <c r="EC48" s="9"/>
      <c r="ED48" s="9"/>
      <c r="EE48" s="9"/>
      <c r="EF48" s="9"/>
      <c r="EG48" s="9"/>
      <c r="EH48" s="9"/>
      <c r="EI48" s="9"/>
      <c r="EJ48" s="9"/>
      <c r="EK48" s="9"/>
      <c r="EL48" s="9"/>
      <c r="EM48" s="9"/>
      <c r="EN48" s="9"/>
      <c r="EO48" s="9"/>
      <c r="EP48" s="9"/>
      <c r="EQ48" s="9"/>
      <c r="ER48" s="9"/>
      <c r="ES48" s="9"/>
      <c r="ET48" s="9"/>
      <c r="EU48" s="9"/>
      <c r="EV48" s="9"/>
      <c r="EW48" s="9"/>
      <c r="EX48" s="9"/>
      <c r="EY48" s="9"/>
      <c r="EZ48" s="9"/>
      <c r="FA48" s="9"/>
      <c r="FB48" s="9"/>
      <c r="FC48" s="9"/>
      <c r="FD48" s="9"/>
      <c r="FE48" s="9"/>
      <c r="FF48" s="9"/>
      <c r="FG48" s="9"/>
      <c r="FH48" s="9"/>
      <c r="FI48" s="9"/>
    </row>
    <row r="49" spans="1:165" x14ac:dyDescent="0.2">
      <c r="A49" s="1" t="s">
        <v>421</v>
      </c>
      <c r="B49" s="1" t="s">
        <v>422</v>
      </c>
      <c r="C49" s="1" t="s">
        <v>423</v>
      </c>
      <c r="D49" s="1" t="str">
        <f>HYPERLINK("http://eros.fiehnlab.ucdavis.edu:8080/binbase-compound/bin/show/199219?db=rtx5","199219")</f>
        <v>199219</v>
      </c>
      <c r="E49" s="1" t="s">
        <v>424</v>
      </c>
      <c r="F49" s="1" t="str">
        <f>HYPERLINK("http://www.genome.ad.jp/dbget-bin/www_bget?compound+D01924","D01924")</f>
        <v>D01924</v>
      </c>
      <c r="G49" s="1" t="str">
        <f>HYPERLINK("http://pubchem.ncbi.nlm.nih.gov/summary/summary.cgi?cid=8221","8221")</f>
        <v>8221</v>
      </c>
      <c r="H49" s="1"/>
      <c r="I49" s="8">
        <v>1027</v>
      </c>
      <c r="J49" s="8">
        <v>752</v>
      </c>
      <c r="K49" s="8">
        <v>922</v>
      </c>
      <c r="L49" s="8">
        <v>716</v>
      </c>
      <c r="M49" s="8">
        <v>728</v>
      </c>
      <c r="N49" s="8">
        <v>595</v>
      </c>
      <c r="O49" s="8">
        <v>828</v>
      </c>
      <c r="P49" s="8">
        <v>821</v>
      </c>
      <c r="Q49" s="8">
        <v>867</v>
      </c>
      <c r="R49" s="8">
        <v>669</v>
      </c>
      <c r="S49" s="8">
        <v>947</v>
      </c>
      <c r="T49" s="8">
        <v>637</v>
      </c>
      <c r="U49" s="8">
        <v>314</v>
      </c>
      <c r="V49" s="8">
        <v>602</v>
      </c>
      <c r="W49" s="8">
        <v>610</v>
      </c>
      <c r="X49" s="8">
        <v>912</v>
      </c>
      <c r="Y49" s="8">
        <v>481</v>
      </c>
      <c r="Z49" s="8">
        <v>635</v>
      </c>
      <c r="AA49" s="8">
        <v>451</v>
      </c>
      <c r="AB49" s="8">
        <v>756</v>
      </c>
      <c r="AC49" s="8">
        <v>651</v>
      </c>
      <c r="AD49" s="8">
        <v>740</v>
      </c>
      <c r="AE49" s="8">
        <v>718</v>
      </c>
      <c r="AF49" s="8">
        <v>554</v>
      </c>
      <c r="AG49" s="8">
        <v>570</v>
      </c>
      <c r="AH49" s="8">
        <v>576</v>
      </c>
      <c r="AI49" s="8">
        <v>611</v>
      </c>
      <c r="AJ49" s="8">
        <v>770</v>
      </c>
      <c r="AK49" s="8">
        <v>680</v>
      </c>
      <c r="AL49" s="8">
        <v>768</v>
      </c>
      <c r="AM49" s="8">
        <v>931</v>
      </c>
      <c r="AN49" s="8">
        <v>806</v>
      </c>
      <c r="AO49" s="8">
        <v>890</v>
      </c>
      <c r="AP49" s="8">
        <v>837</v>
      </c>
      <c r="AQ49" s="8">
        <v>811</v>
      </c>
      <c r="AR49" s="8">
        <v>396</v>
      </c>
      <c r="AS49" s="8">
        <v>865</v>
      </c>
      <c r="AT49" s="8">
        <v>760</v>
      </c>
      <c r="AU49" s="8">
        <v>829</v>
      </c>
      <c r="AV49" s="8">
        <v>739</v>
      </c>
      <c r="AW49" s="8">
        <v>755</v>
      </c>
      <c r="AX49" s="8">
        <v>699</v>
      </c>
      <c r="AY49" s="8">
        <v>755</v>
      </c>
      <c r="AZ49" s="8">
        <v>808</v>
      </c>
      <c r="BA49" s="8">
        <v>830</v>
      </c>
      <c r="BB49" s="8">
        <v>865</v>
      </c>
      <c r="BC49" s="8">
        <v>868</v>
      </c>
      <c r="BD49" s="8">
        <v>767</v>
      </c>
      <c r="BE49" s="8">
        <v>821</v>
      </c>
      <c r="BF49" s="8">
        <v>598</v>
      </c>
      <c r="BG49" s="8">
        <v>793</v>
      </c>
      <c r="BH49" s="8">
        <v>671</v>
      </c>
      <c r="BI49" s="8">
        <v>924</v>
      </c>
      <c r="BJ49" s="8">
        <v>695</v>
      </c>
      <c r="BK49" s="8">
        <v>818</v>
      </c>
      <c r="BL49" s="8">
        <v>895</v>
      </c>
      <c r="BM49" s="8">
        <v>920</v>
      </c>
      <c r="BN49" s="8">
        <v>558</v>
      </c>
      <c r="BO49" s="8">
        <v>506</v>
      </c>
      <c r="BP49" s="8">
        <v>868</v>
      </c>
      <c r="BQ49" s="8">
        <v>772</v>
      </c>
      <c r="BR49" s="8">
        <v>686</v>
      </c>
      <c r="BS49" s="8">
        <v>775</v>
      </c>
      <c r="BT49" s="8">
        <v>720</v>
      </c>
      <c r="BU49" s="8">
        <v>651</v>
      </c>
      <c r="BV49" s="8">
        <v>600</v>
      </c>
      <c r="BW49" s="8">
        <v>881</v>
      </c>
      <c r="BX49" s="8">
        <v>3135</v>
      </c>
      <c r="BY49" s="8">
        <v>647</v>
      </c>
      <c r="BZ49" s="8">
        <v>555</v>
      </c>
      <c r="CA49" s="8">
        <v>786</v>
      </c>
      <c r="CB49" s="8">
        <v>462</v>
      </c>
      <c r="CC49" s="8">
        <v>655</v>
      </c>
      <c r="CD49" s="8">
        <v>1538</v>
      </c>
      <c r="CE49" s="8">
        <v>574</v>
      </c>
      <c r="CF49" s="8">
        <v>544</v>
      </c>
      <c r="CG49" s="8">
        <v>400</v>
      </c>
      <c r="CH49" s="8">
        <v>654</v>
      </c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  <c r="CZ49" s="9"/>
      <c r="DA49" s="9"/>
      <c r="DB49" s="9"/>
      <c r="DC49" s="9"/>
      <c r="DD49" s="9"/>
      <c r="DE49" s="9"/>
      <c r="DF49" s="9"/>
      <c r="DG49" s="9"/>
      <c r="DH49" s="9"/>
      <c r="DI49" s="9"/>
      <c r="DJ49" s="9"/>
      <c r="DK49" s="9"/>
      <c r="DL49" s="9"/>
      <c r="DM49" s="9"/>
      <c r="DN49" s="9"/>
      <c r="DO49" s="9"/>
      <c r="DP49" s="9"/>
      <c r="DQ49" s="9"/>
      <c r="DR49" s="9"/>
      <c r="DS49" s="9"/>
      <c r="DT49" s="9"/>
      <c r="DU49" s="9"/>
      <c r="DV49" s="9"/>
      <c r="DW49" s="9"/>
      <c r="DX49" s="9"/>
      <c r="DY49" s="9"/>
      <c r="DZ49" s="9"/>
      <c r="EA49" s="9"/>
      <c r="EB49" s="9"/>
      <c r="EC49" s="9"/>
      <c r="ED49" s="9"/>
      <c r="EE49" s="9"/>
      <c r="EF49" s="9"/>
      <c r="EG49" s="9"/>
      <c r="EH49" s="9"/>
      <c r="EI49" s="9"/>
      <c r="EJ49" s="9"/>
      <c r="EK49" s="9"/>
      <c r="EL49" s="9"/>
      <c r="EM49" s="9"/>
      <c r="EN49" s="9"/>
      <c r="EO49" s="9"/>
      <c r="EP49" s="9"/>
      <c r="EQ49" s="9"/>
      <c r="ER49" s="9"/>
      <c r="ES49" s="9"/>
      <c r="ET49" s="9"/>
      <c r="EU49" s="9"/>
      <c r="EV49" s="9"/>
      <c r="EW49" s="9"/>
      <c r="EX49" s="9"/>
      <c r="EY49" s="9"/>
      <c r="EZ49" s="9"/>
      <c r="FA49" s="9"/>
      <c r="FB49" s="9"/>
      <c r="FC49" s="9"/>
      <c r="FD49" s="9"/>
      <c r="FE49" s="9"/>
      <c r="FF49" s="9"/>
      <c r="FG49" s="9"/>
      <c r="FH49" s="9"/>
      <c r="FI49" s="9"/>
    </row>
    <row r="50" spans="1:165" x14ac:dyDescent="0.2">
      <c r="A50" s="1" t="s">
        <v>425</v>
      </c>
      <c r="B50" s="1" t="s">
        <v>426</v>
      </c>
      <c r="C50" s="1" t="s">
        <v>427</v>
      </c>
      <c r="D50" s="1" t="str">
        <f>HYPERLINK("http://eros.fiehnlab.ucdavis.edu:8080/binbase-compound/bin/show/205663?db=rtx5","205663")</f>
        <v>205663</v>
      </c>
      <c r="E50" s="1" t="s">
        <v>428</v>
      </c>
      <c r="F50" s="1" t="str">
        <f>HYPERLINK("http://www.genome.ad.jp/dbget-bin/www_bget?compound+C02721","C02721")</f>
        <v>C02721</v>
      </c>
      <c r="G50" s="1" t="str">
        <f>HYPERLINK("http://pubchem.ncbi.nlm.nih.gov/summary/summary.cgi?cid=5288725","5288725")</f>
        <v>5288725</v>
      </c>
      <c r="H50" s="1"/>
      <c r="I50" s="8">
        <v>3380</v>
      </c>
      <c r="J50" s="8">
        <v>668</v>
      </c>
      <c r="K50" s="8">
        <v>1344</v>
      </c>
      <c r="L50" s="8">
        <v>1156</v>
      </c>
      <c r="M50" s="8">
        <v>3029</v>
      </c>
      <c r="N50" s="8">
        <v>1303</v>
      </c>
      <c r="O50" s="8">
        <v>1728</v>
      </c>
      <c r="P50" s="8">
        <v>2040</v>
      </c>
      <c r="Q50" s="8">
        <v>3129</v>
      </c>
      <c r="R50" s="8">
        <v>2829</v>
      </c>
      <c r="S50" s="8">
        <v>2821</v>
      </c>
      <c r="T50" s="8">
        <v>2375</v>
      </c>
      <c r="U50" s="8">
        <v>2588</v>
      </c>
      <c r="V50" s="8">
        <v>3017</v>
      </c>
      <c r="W50" s="8">
        <v>2129</v>
      </c>
      <c r="X50" s="8">
        <v>3324</v>
      </c>
      <c r="Y50" s="8">
        <v>2744</v>
      </c>
      <c r="Z50" s="8">
        <v>2532</v>
      </c>
      <c r="AA50" s="8">
        <v>1010</v>
      </c>
      <c r="AB50" s="8">
        <v>2375</v>
      </c>
      <c r="AC50" s="8">
        <v>1196</v>
      </c>
      <c r="AD50" s="8">
        <v>1340</v>
      </c>
      <c r="AE50" s="8">
        <v>2061</v>
      </c>
      <c r="AF50" s="8">
        <v>2157</v>
      </c>
      <c r="AG50" s="8">
        <v>2410</v>
      </c>
      <c r="AH50" s="8">
        <v>2427</v>
      </c>
      <c r="AI50" s="8">
        <v>1175</v>
      </c>
      <c r="AJ50" s="8">
        <v>4494</v>
      </c>
      <c r="AK50" s="8">
        <v>1939</v>
      </c>
      <c r="AL50" s="8">
        <v>2515</v>
      </c>
      <c r="AM50" s="8">
        <v>3303</v>
      </c>
      <c r="AN50" s="8">
        <v>1772</v>
      </c>
      <c r="AO50" s="8">
        <v>1811</v>
      </c>
      <c r="AP50" s="8">
        <v>2891</v>
      </c>
      <c r="AQ50" s="8">
        <v>3120</v>
      </c>
      <c r="AR50" s="8">
        <v>2582</v>
      </c>
      <c r="AS50" s="8">
        <v>1565</v>
      </c>
      <c r="AT50" s="8">
        <v>1467</v>
      </c>
      <c r="AU50" s="8">
        <v>2080</v>
      </c>
      <c r="AV50" s="8">
        <v>2382</v>
      </c>
      <c r="AW50" s="8">
        <v>1928</v>
      </c>
      <c r="AX50" s="8">
        <v>3943</v>
      </c>
      <c r="AY50" s="8">
        <v>1689</v>
      </c>
      <c r="AZ50" s="8">
        <v>1819</v>
      </c>
      <c r="BA50" s="8">
        <v>3284</v>
      </c>
      <c r="BB50" s="8">
        <v>3276</v>
      </c>
      <c r="BC50" s="8">
        <v>3546</v>
      </c>
      <c r="BD50" s="8">
        <v>2857</v>
      </c>
      <c r="BE50" s="8">
        <v>1834</v>
      </c>
      <c r="BF50" s="8">
        <v>1427</v>
      </c>
      <c r="BG50" s="8">
        <v>2114</v>
      </c>
      <c r="BH50" s="8">
        <v>1876</v>
      </c>
      <c r="BI50" s="8">
        <v>2707</v>
      </c>
      <c r="BJ50" s="8">
        <v>2684</v>
      </c>
      <c r="BK50" s="8">
        <v>2504</v>
      </c>
      <c r="BL50" s="8">
        <v>2795</v>
      </c>
      <c r="BM50" s="8">
        <v>2482</v>
      </c>
      <c r="BN50" s="8">
        <v>2157</v>
      </c>
      <c r="BO50" s="8">
        <v>2814</v>
      </c>
      <c r="BP50" s="8">
        <v>2360</v>
      </c>
      <c r="BQ50" s="8">
        <v>2661</v>
      </c>
      <c r="BR50" s="8">
        <v>2978</v>
      </c>
      <c r="BS50" s="8">
        <v>3482</v>
      </c>
      <c r="BT50" s="8">
        <v>2897</v>
      </c>
      <c r="BU50" s="8">
        <v>2718</v>
      </c>
      <c r="BV50" s="8">
        <v>1009</v>
      </c>
      <c r="BW50" s="8">
        <v>2321</v>
      </c>
      <c r="BX50" s="8">
        <v>1401</v>
      </c>
      <c r="BY50" s="8">
        <v>2511</v>
      </c>
      <c r="BZ50" s="8">
        <v>2843</v>
      </c>
      <c r="CA50" s="8">
        <v>2987</v>
      </c>
      <c r="CB50" s="8">
        <v>1767</v>
      </c>
      <c r="CC50" s="8">
        <v>1871</v>
      </c>
      <c r="CD50" s="8">
        <v>1211</v>
      </c>
      <c r="CE50" s="8">
        <v>1551</v>
      </c>
      <c r="CF50" s="8">
        <v>1555</v>
      </c>
      <c r="CG50" s="8">
        <v>2580</v>
      </c>
      <c r="CH50" s="8">
        <v>2443</v>
      </c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  <c r="CU50" s="9"/>
      <c r="CV50" s="9"/>
      <c r="CW50" s="9"/>
      <c r="CX50" s="9"/>
      <c r="CY50" s="9"/>
      <c r="CZ50" s="9"/>
      <c r="DA50" s="9"/>
      <c r="DB50" s="9"/>
      <c r="DC50" s="9"/>
      <c r="DD50" s="9"/>
      <c r="DE50" s="9"/>
      <c r="DF50" s="9"/>
      <c r="DG50" s="9"/>
      <c r="DH50" s="9"/>
      <c r="DI50" s="9"/>
      <c r="DJ50" s="9"/>
      <c r="DK50" s="9"/>
      <c r="DL50" s="9"/>
      <c r="DM50" s="9"/>
      <c r="DN50" s="9"/>
      <c r="DO50" s="9"/>
      <c r="DP50" s="9"/>
      <c r="DQ50" s="9"/>
      <c r="DR50" s="9"/>
      <c r="DS50" s="9"/>
      <c r="DT50" s="9"/>
      <c r="DU50" s="9"/>
      <c r="DV50" s="9"/>
      <c r="DW50" s="9"/>
      <c r="DX50" s="9"/>
      <c r="DY50" s="9"/>
      <c r="DZ50" s="9"/>
      <c r="EA50" s="9"/>
      <c r="EB50" s="9"/>
      <c r="EC50" s="9"/>
      <c r="ED50" s="9"/>
      <c r="EE50" s="9"/>
      <c r="EF50" s="9"/>
      <c r="EG50" s="9"/>
      <c r="EH50" s="9"/>
      <c r="EI50" s="9"/>
      <c r="EJ50" s="9"/>
      <c r="EK50" s="9"/>
      <c r="EL50" s="9"/>
      <c r="EM50" s="9"/>
      <c r="EN50" s="9"/>
      <c r="EO50" s="9"/>
      <c r="EP50" s="9"/>
      <c r="EQ50" s="9"/>
      <c r="ER50" s="9"/>
      <c r="ES50" s="9"/>
      <c r="ET50" s="9"/>
      <c r="EU50" s="9"/>
      <c r="EV50" s="9"/>
      <c r="EW50" s="9"/>
      <c r="EX50" s="9"/>
      <c r="EY50" s="9"/>
      <c r="EZ50" s="9"/>
      <c r="FA50" s="9"/>
      <c r="FB50" s="9"/>
      <c r="FC50" s="9"/>
      <c r="FD50" s="9"/>
      <c r="FE50" s="9"/>
      <c r="FF50" s="9"/>
      <c r="FG50" s="9"/>
      <c r="FH50" s="9"/>
      <c r="FI50" s="9"/>
    </row>
    <row r="51" spans="1:165" x14ac:dyDescent="0.2">
      <c r="A51" s="1" t="s">
        <v>1425</v>
      </c>
      <c r="B51" s="1" t="s">
        <v>429</v>
      </c>
      <c r="C51" s="1" t="s">
        <v>292</v>
      </c>
      <c r="D51" s="1" t="str">
        <f>HYPERLINK("http://eros.fiehnlab.ucdavis.edu:8080/binbase-compound/bin/show/243111?db=rtx5","243111")</f>
        <v>243111</v>
      </c>
      <c r="E51" s="1" t="s">
        <v>430</v>
      </c>
      <c r="F51" s="1" t="str">
        <f>HYPERLINK("http://www.genome.ad.jp/dbget-bin/www_bget?compound+C00645","C00645")</f>
        <v>C00645</v>
      </c>
      <c r="G51" s="1" t="str">
        <f>HYPERLINK("http://pubchem.ncbi.nlm.nih.gov/summary/summary.cgi?cid=65150","65150")</f>
        <v>65150</v>
      </c>
      <c r="H51" s="1"/>
      <c r="I51" s="8">
        <v>758</v>
      </c>
      <c r="J51" s="8">
        <v>362</v>
      </c>
      <c r="K51" s="8">
        <v>329</v>
      </c>
      <c r="L51" s="8">
        <v>532</v>
      </c>
      <c r="M51" s="8">
        <v>581</v>
      </c>
      <c r="N51" s="8">
        <v>462</v>
      </c>
      <c r="O51" s="8">
        <v>349</v>
      </c>
      <c r="P51" s="8">
        <v>275</v>
      </c>
      <c r="Q51" s="8">
        <v>281</v>
      </c>
      <c r="R51" s="8">
        <v>210</v>
      </c>
      <c r="S51" s="8">
        <v>292</v>
      </c>
      <c r="T51" s="8">
        <v>122</v>
      </c>
      <c r="U51" s="8">
        <v>147</v>
      </c>
      <c r="V51" s="8">
        <v>148</v>
      </c>
      <c r="W51" s="8">
        <v>182</v>
      </c>
      <c r="X51" s="8">
        <v>241</v>
      </c>
      <c r="Y51" s="8">
        <v>94</v>
      </c>
      <c r="Z51" s="8">
        <v>138</v>
      </c>
      <c r="AA51" s="8">
        <v>102</v>
      </c>
      <c r="AB51" s="8">
        <v>260</v>
      </c>
      <c r="AC51" s="8">
        <v>209</v>
      </c>
      <c r="AD51" s="8">
        <v>134</v>
      </c>
      <c r="AE51" s="8">
        <v>157</v>
      </c>
      <c r="AF51" s="8">
        <v>92</v>
      </c>
      <c r="AG51" s="8">
        <v>194</v>
      </c>
      <c r="AH51" s="8">
        <v>134</v>
      </c>
      <c r="AI51" s="8">
        <v>140</v>
      </c>
      <c r="AJ51" s="8">
        <v>226</v>
      </c>
      <c r="AK51" s="8">
        <v>132</v>
      </c>
      <c r="AL51" s="8">
        <v>261</v>
      </c>
      <c r="AM51" s="8">
        <v>335</v>
      </c>
      <c r="AN51" s="8">
        <v>227</v>
      </c>
      <c r="AO51" s="8">
        <v>317</v>
      </c>
      <c r="AP51" s="8">
        <v>322</v>
      </c>
      <c r="AQ51" s="8">
        <v>198</v>
      </c>
      <c r="AR51" s="8">
        <v>127</v>
      </c>
      <c r="AS51" s="8">
        <v>134</v>
      </c>
      <c r="AT51" s="8">
        <v>210</v>
      </c>
      <c r="AU51" s="8">
        <v>164</v>
      </c>
      <c r="AV51" s="8">
        <v>148</v>
      </c>
      <c r="AW51" s="8">
        <v>190</v>
      </c>
      <c r="AX51" s="8">
        <v>120</v>
      </c>
      <c r="AY51" s="8">
        <v>164</v>
      </c>
      <c r="AZ51" s="8">
        <v>138</v>
      </c>
      <c r="BA51" s="8">
        <v>151</v>
      </c>
      <c r="BB51" s="8">
        <v>166</v>
      </c>
      <c r="BC51" s="8">
        <v>223</v>
      </c>
      <c r="BD51" s="8">
        <v>135</v>
      </c>
      <c r="BE51" s="8">
        <v>226</v>
      </c>
      <c r="BF51" s="8">
        <v>137</v>
      </c>
      <c r="BG51" s="8">
        <v>203</v>
      </c>
      <c r="BH51" s="8">
        <v>109</v>
      </c>
      <c r="BI51" s="8">
        <v>172</v>
      </c>
      <c r="BJ51" s="8">
        <v>164</v>
      </c>
      <c r="BK51" s="8">
        <v>337</v>
      </c>
      <c r="BL51" s="8">
        <v>323</v>
      </c>
      <c r="BM51" s="8">
        <v>198</v>
      </c>
      <c r="BN51" s="8">
        <v>192</v>
      </c>
      <c r="BO51" s="8">
        <v>229</v>
      </c>
      <c r="BP51" s="8">
        <v>149</v>
      </c>
      <c r="BQ51" s="8">
        <v>147</v>
      </c>
      <c r="BR51" s="8">
        <v>223</v>
      </c>
      <c r="BS51" s="8">
        <v>255</v>
      </c>
      <c r="BT51" s="8">
        <v>213</v>
      </c>
      <c r="BU51" s="8">
        <v>137</v>
      </c>
      <c r="BV51" s="8">
        <v>167</v>
      </c>
      <c r="BW51" s="8">
        <v>157</v>
      </c>
      <c r="BX51" s="8">
        <v>225</v>
      </c>
      <c r="BY51" s="8">
        <v>102</v>
      </c>
      <c r="BZ51" s="8">
        <v>192</v>
      </c>
      <c r="CA51" s="8">
        <v>298</v>
      </c>
      <c r="CB51" s="8">
        <v>213</v>
      </c>
      <c r="CC51" s="8">
        <v>149</v>
      </c>
      <c r="CD51" s="8">
        <v>185</v>
      </c>
      <c r="CE51" s="8">
        <v>255</v>
      </c>
      <c r="CF51" s="8">
        <v>197</v>
      </c>
      <c r="CG51" s="8">
        <v>176</v>
      </c>
      <c r="CH51" s="8">
        <v>216</v>
      </c>
      <c r="CJ51" s="9"/>
      <c r="CK51" s="9"/>
      <c r="CL51" s="9"/>
      <c r="CM51" s="9"/>
      <c r="CN51" s="9"/>
      <c r="CO51" s="9"/>
      <c r="CP51" s="9"/>
      <c r="CQ51" s="9"/>
      <c r="CR51" s="9"/>
      <c r="CS51" s="9"/>
      <c r="CT51" s="9"/>
      <c r="CU51" s="9"/>
      <c r="CV51" s="9"/>
      <c r="CW51" s="9"/>
      <c r="CX51" s="9"/>
      <c r="CY51" s="9"/>
      <c r="CZ51" s="9"/>
      <c r="DA51" s="9"/>
      <c r="DB51" s="9"/>
      <c r="DC51" s="9"/>
      <c r="DD51" s="9"/>
      <c r="DE51" s="9"/>
      <c r="DF51" s="9"/>
      <c r="DG51" s="9"/>
      <c r="DH51" s="9"/>
      <c r="DI51" s="9"/>
      <c r="DJ51" s="9"/>
      <c r="DK51" s="9"/>
      <c r="DL51" s="9"/>
      <c r="DM51" s="9"/>
      <c r="DN51" s="9"/>
      <c r="DO51" s="9"/>
      <c r="DP51" s="9"/>
      <c r="DQ51" s="9"/>
      <c r="DR51" s="9"/>
      <c r="DS51" s="9"/>
      <c r="DT51" s="9"/>
      <c r="DU51" s="9"/>
      <c r="DV51" s="9"/>
      <c r="DW51" s="9"/>
      <c r="DX51" s="9"/>
      <c r="DY51" s="9"/>
      <c r="DZ51" s="9"/>
      <c r="EA51" s="9"/>
      <c r="EB51" s="9"/>
      <c r="EC51" s="9"/>
      <c r="ED51" s="9"/>
      <c r="EE51" s="9"/>
      <c r="EF51" s="9"/>
      <c r="EG51" s="9"/>
      <c r="EH51" s="9"/>
      <c r="EI51" s="9"/>
      <c r="EJ51" s="9"/>
      <c r="EK51" s="9"/>
      <c r="EL51" s="9"/>
      <c r="EM51" s="9"/>
      <c r="EN51" s="9"/>
      <c r="EO51" s="9"/>
      <c r="EP51" s="9"/>
      <c r="EQ51" s="9"/>
      <c r="ER51" s="9"/>
      <c r="ES51" s="9"/>
      <c r="ET51" s="9"/>
      <c r="EU51" s="9"/>
      <c r="EV51" s="9"/>
      <c r="EW51" s="9"/>
      <c r="EX51" s="9"/>
      <c r="EY51" s="9"/>
      <c r="EZ51" s="9"/>
      <c r="FA51" s="9"/>
      <c r="FB51" s="9"/>
      <c r="FC51" s="9"/>
      <c r="FD51" s="9"/>
      <c r="FE51" s="9"/>
      <c r="FF51" s="9"/>
      <c r="FG51" s="9"/>
      <c r="FH51" s="9"/>
      <c r="FI51" s="9"/>
    </row>
    <row r="52" spans="1:165" x14ac:dyDescent="0.2">
      <c r="A52" s="1" t="s">
        <v>1426</v>
      </c>
      <c r="B52" s="1" t="s">
        <v>431</v>
      </c>
      <c r="C52" s="1" t="s">
        <v>301</v>
      </c>
      <c r="D52" s="1" t="str">
        <f>HYPERLINK("http://eros.fiehnlab.ucdavis.edu:8080/binbase-compound/bin/show/286827?db=rtx5","286827")</f>
        <v>286827</v>
      </c>
      <c r="E52" s="1" t="s">
        <v>432</v>
      </c>
      <c r="F52" s="1" t="str">
        <f>HYPERLINK("http://www.genome.ad.jp/dbget-bin/www_bget?compound+C01042","C01042")</f>
        <v>C01042</v>
      </c>
      <c r="G52" s="1" t="str">
        <f>HYPERLINK("http://pubchem.ncbi.nlm.nih.gov/summary/summary.cgi?cid=65065","65065")</f>
        <v>65065</v>
      </c>
      <c r="H52" s="1"/>
      <c r="I52" s="8">
        <v>2285</v>
      </c>
      <c r="J52" s="8">
        <v>2319</v>
      </c>
      <c r="K52" s="8">
        <v>2537</v>
      </c>
      <c r="L52" s="8">
        <v>1924</v>
      </c>
      <c r="M52" s="8">
        <v>2864</v>
      </c>
      <c r="N52" s="8">
        <v>2791</v>
      </c>
      <c r="O52" s="8">
        <v>4737</v>
      </c>
      <c r="P52" s="8">
        <v>5998</v>
      </c>
      <c r="Q52" s="8">
        <v>6010</v>
      </c>
      <c r="R52" s="8">
        <v>6422</v>
      </c>
      <c r="S52" s="8">
        <v>5844</v>
      </c>
      <c r="T52" s="8">
        <v>4122</v>
      </c>
      <c r="U52" s="8">
        <v>4104</v>
      </c>
      <c r="V52" s="8">
        <v>4704</v>
      </c>
      <c r="W52" s="8">
        <v>3948</v>
      </c>
      <c r="X52" s="8">
        <v>4793</v>
      </c>
      <c r="Y52" s="8">
        <v>4841</v>
      </c>
      <c r="Z52" s="8">
        <v>5107</v>
      </c>
      <c r="AA52" s="8">
        <v>2738</v>
      </c>
      <c r="AB52" s="8">
        <v>3869</v>
      </c>
      <c r="AC52" s="8">
        <v>3879</v>
      </c>
      <c r="AD52" s="8">
        <v>3793</v>
      </c>
      <c r="AE52" s="8">
        <v>3678</v>
      </c>
      <c r="AF52" s="8">
        <v>3362</v>
      </c>
      <c r="AG52" s="8">
        <v>4513</v>
      </c>
      <c r="AH52" s="8">
        <v>4957</v>
      </c>
      <c r="AI52" s="8">
        <v>4956</v>
      </c>
      <c r="AJ52" s="8">
        <v>6875</v>
      </c>
      <c r="AK52" s="8">
        <v>4139</v>
      </c>
      <c r="AL52" s="8">
        <v>6260</v>
      </c>
      <c r="AM52" s="8">
        <v>8114</v>
      </c>
      <c r="AN52" s="8">
        <v>6734</v>
      </c>
      <c r="AO52" s="8">
        <v>6575</v>
      </c>
      <c r="AP52" s="8">
        <v>5105</v>
      </c>
      <c r="AQ52" s="8">
        <v>6711</v>
      </c>
      <c r="AR52" s="8">
        <v>6406</v>
      </c>
      <c r="AS52" s="8">
        <v>6911</v>
      </c>
      <c r="AT52" s="8">
        <v>5951</v>
      </c>
      <c r="AU52" s="8">
        <v>5502</v>
      </c>
      <c r="AV52" s="8">
        <v>4916</v>
      </c>
      <c r="AW52" s="8">
        <v>6980</v>
      </c>
      <c r="AX52" s="8">
        <v>4900</v>
      </c>
      <c r="AY52" s="8">
        <v>5429</v>
      </c>
      <c r="AZ52" s="8">
        <v>6068</v>
      </c>
      <c r="BA52" s="8">
        <v>5708</v>
      </c>
      <c r="BB52" s="8">
        <v>6088</v>
      </c>
      <c r="BC52" s="8">
        <v>5827</v>
      </c>
      <c r="BD52" s="8">
        <v>5548</v>
      </c>
      <c r="BE52" s="8">
        <v>5890</v>
      </c>
      <c r="BF52" s="8">
        <v>5596</v>
      </c>
      <c r="BG52" s="8">
        <v>5140</v>
      </c>
      <c r="BH52" s="8">
        <v>4070</v>
      </c>
      <c r="BI52" s="8">
        <v>4777</v>
      </c>
      <c r="BJ52" s="8">
        <v>5144</v>
      </c>
      <c r="BK52" s="8">
        <v>5654</v>
      </c>
      <c r="BL52" s="8">
        <v>4995</v>
      </c>
      <c r="BM52" s="8">
        <v>5253</v>
      </c>
      <c r="BN52" s="8">
        <v>4714</v>
      </c>
      <c r="BO52" s="8">
        <v>5874</v>
      </c>
      <c r="BP52" s="8">
        <v>6066</v>
      </c>
      <c r="BQ52" s="8">
        <v>5473</v>
      </c>
      <c r="BR52" s="8">
        <v>5163</v>
      </c>
      <c r="BS52" s="8">
        <v>4677</v>
      </c>
      <c r="BT52" s="8">
        <v>4416</v>
      </c>
      <c r="BU52" s="8">
        <v>4209</v>
      </c>
      <c r="BV52" s="8">
        <v>4867</v>
      </c>
      <c r="BW52" s="8">
        <v>4875</v>
      </c>
      <c r="BX52" s="8">
        <v>4297</v>
      </c>
      <c r="BY52" s="8">
        <v>4092</v>
      </c>
      <c r="BZ52" s="8">
        <v>4556</v>
      </c>
      <c r="CA52" s="8">
        <v>4324</v>
      </c>
      <c r="CB52" s="8">
        <v>3606</v>
      </c>
      <c r="CC52" s="8">
        <v>3639</v>
      </c>
      <c r="CD52" s="8">
        <v>3970</v>
      </c>
      <c r="CE52" s="8">
        <v>3989</v>
      </c>
      <c r="CF52" s="8">
        <v>3731</v>
      </c>
      <c r="CG52" s="8">
        <v>3886</v>
      </c>
      <c r="CH52" s="8">
        <v>3877</v>
      </c>
      <c r="CJ52" s="9"/>
      <c r="CK52" s="9"/>
      <c r="CL52" s="9"/>
      <c r="CM52" s="9"/>
      <c r="CN52" s="9"/>
      <c r="CO52" s="9"/>
      <c r="CP52" s="9"/>
      <c r="CQ52" s="9"/>
      <c r="CR52" s="9"/>
      <c r="CS52" s="9"/>
      <c r="CT52" s="9"/>
      <c r="CU52" s="9"/>
      <c r="CV52" s="9"/>
      <c r="CW52" s="9"/>
      <c r="CX52" s="9"/>
      <c r="CY52" s="9"/>
      <c r="CZ52" s="9"/>
      <c r="DA52" s="9"/>
      <c r="DB52" s="9"/>
      <c r="DC52" s="9"/>
      <c r="DD52" s="9"/>
      <c r="DE52" s="9"/>
      <c r="DF52" s="9"/>
      <c r="DG52" s="9"/>
      <c r="DH52" s="9"/>
      <c r="DI52" s="9"/>
      <c r="DJ52" s="9"/>
      <c r="DK52" s="9"/>
      <c r="DL52" s="9"/>
      <c r="DM52" s="9"/>
      <c r="DN52" s="9"/>
      <c r="DO52" s="9"/>
      <c r="DP52" s="9"/>
      <c r="DQ52" s="9"/>
      <c r="DR52" s="9"/>
      <c r="DS52" s="9"/>
      <c r="DT52" s="9"/>
      <c r="DU52" s="9"/>
      <c r="DV52" s="9"/>
      <c r="DW52" s="9"/>
      <c r="DX52" s="9"/>
      <c r="DY52" s="9"/>
      <c r="DZ52" s="9"/>
      <c r="EA52" s="9"/>
      <c r="EB52" s="9"/>
      <c r="EC52" s="9"/>
      <c r="ED52" s="9"/>
      <c r="EE52" s="9"/>
      <c r="EF52" s="9"/>
      <c r="EG52" s="9"/>
      <c r="EH52" s="9"/>
      <c r="EI52" s="9"/>
      <c r="EJ52" s="9"/>
      <c r="EK52" s="9"/>
      <c r="EL52" s="9"/>
      <c r="EM52" s="9"/>
      <c r="EN52" s="9"/>
      <c r="EO52" s="9"/>
      <c r="EP52" s="9"/>
      <c r="EQ52" s="9"/>
      <c r="ER52" s="9"/>
      <c r="ES52" s="9"/>
      <c r="ET52" s="9"/>
      <c r="EU52" s="9"/>
      <c r="EV52" s="9"/>
      <c r="EW52" s="9"/>
      <c r="EX52" s="9"/>
      <c r="EY52" s="9"/>
      <c r="EZ52" s="9"/>
      <c r="FA52" s="9"/>
      <c r="FB52" s="9"/>
      <c r="FC52" s="9"/>
      <c r="FD52" s="9"/>
      <c r="FE52" s="9"/>
      <c r="FF52" s="9"/>
      <c r="FG52" s="9"/>
      <c r="FH52" s="9"/>
      <c r="FI52" s="9"/>
    </row>
    <row r="53" spans="1:165" x14ac:dyDescent="0.2">
      <c r="A53" s="1" t="s">
        <v>433</v>
      </c>
      <c r="B53" s="1" t="s">
        <v>434</v>
      </c>
      <c r="C53" s="1" t="s">
        <v>435</v>
      </c>
      <c r="D53" s="1" t="str">
        <f>HYPERLINK("http://eros.fiehnlab.ucdavis.edu:8080/binbase-compound/bin/show/199929?db=rtx5","199929")</f>
        <v>199929</v>
      </c>
      <c r="E53" s="1" t="s">
        <v>436</v>
      </c>
      <c r="F53" s="1" t="str">
        <f>HYPERLINK("http://www.genome.ad.jp/dbget-bin/www_bget?compound+C06424","C06424")</f>
        <v>C06424</v>
      </c>
      <c r="G53" s="1" t="str">
        <f>HYPERLINK("http://pubchem.ncbi.nlm.nih.gov/summary/summary.cgi?cid=11005","11005")</f>
        <v>11005</v>
      </c>
      <c r="H53" s="1"/>
      <c r="I53" s="8">
        <v>2250</v>
      </c>
      <c r="J53" s="8">
        <v>1712</v>
      </c>
      <c r="K53" s="8">
        <v>2068</v>
      </c>
      <c r="L53" s="8">
        <v>1765</v>
      </c>
      <c r="M53" s="8">
        <v>2066</v>
      </c>
      <c r="N53" s="8">
        <v>173</v>
      </c>
      <c r="O53" s="8">
        <v>1801</v>
      </c>
      <c r="P53" s="8">
        <v>2240</v>
      </c>
      <c r="Q53" s="8">
        <v>1887</v>
      </c>
      <c r="R53" s="8">
        <v>157</v>
      </c>
      <c r="S53" s="8">
        <v>2460</v>
      </c>
      <c r="T53" s="8">
        <v>1891</v>
      </c>
      <c r="U53" s="8">
        <v>1229</v>
      </c>
      <c r="V53" s="8">
        <v>1778</v>
      </c>
      <c r="W53" s="8">
        <v>1908</v>
      </c>
      <c r="X53" s="8">
        <v>146</v>
      </c>
      <c r="Y53" s="8">
        <v>1601</v>
      </c>
      <c r="Z53" s="8">
        <v>1956</v>
      </c>
      <c r="AA53" s="8">
        <v>1145</v>
      </c>
      <c r="AB53" s="8">
        <v>1851</v>
      </c>
      <c r="AC53" s="8">
        <v>1815</v>
      </c>
      <c r="AD53" s="8">
        <v>2294</v>
      </c>
      <c r="AE53" s="8">
        <v>2291</v>
      </c>
      <c r="AF53" s="8">
        <v>1424</v>
      </c>
      <c r="AG53" s="8">
        <v>1716</v>
      </c>
      <c r="AH53" s="8">
        <v>1539</v>
      </c>
      <c r="AI53" s="8">
        <v>1769</v>
      </c>
      <c r="AJ53" s="8">
        <v>2621</v>
      </c>
      <c r="AK53" s="8">
        <v>1842</v>
      </c>
      <c r="AL53" s="8">
        <v>2470</v>
      </c>
      <c r="AM53" s="8">
        <v>2513</v>
      </c>
      <c r="AN53" s="8">
        <v>2113</v>
      </c>
      <c r="AO53" s="8">
        <v>2040</v>
      </c>
      <c r="AP53" s="8">
        <v>2675</v>
      </c>
      <c r="AQ53" s="8">
        <v>2059</v>
      </c>
      <c r="AR53" s="8">
        <v>1846</v>
      </c>
      <c r="AS53" s="8">
        <v>2413</v>
      </c>
      <c r="AT53" s="8">
        <v>1947</v>
      </c>
      <c r="AU53" s="8">
        <v>1804</v>
      </c>
      <c r="AV53" s="8">
        <v>1818</v>
      </c>
      <c r="AW53" s="8">
        <v>2432</v>
      </c>
      <c r="AX53" s="8">
        <v>1780</v>
      </c>
      <c r="AY53" s="8">
        <v>2042</v>
      </c>
      <c r="AZ53" s="8">
        <v>2277</v>
      </c>
      <c r="BA53" s="8">
        <v>129</v>
      </c>
      <c r="BB53" s="8">
        <v>2479</v>
      </c>
      <c r="BC53" s="8">
        <v>2613</v>
      </c>
      <c r="BD53" s="8">
        <v>2311</v>
      </c>
      <c r="BE53" s="8">
        <v>2274</v>
      </c>
      <c r="BF53" s="8">
        <v>1785</v>
      </c>
      <c r="BG53" s="8">
        <v>2013</v>
      </c>
      <c r="BH53" s="8">
        <v>1527</v>
      </c>
      <c r="BI53" s="8">
        <v>1968</v>
      </c>
      <c r="BJ53" s="8">
        <v>168</v>
      </c>
      <c r="BK53" s="8">
        <v>1950</v>
      </c>
      <c r="BL53" s="8">
        <v>2269</v>
      </c>
      <c r="BM53" s="8">
        <v>2011</v>
      </c>
      <c r="BN53" s="8">
        <v>1698</v>
      </c>
      <c r="BO53" s="8">
        <v>2498</v>
      </c>
      <c r="BP53" s="8">
        <v>2348</v>
      </c>
      <c r="BQ53" s="8">
        <v>2000</v>
      </c>
      <c r="BR53" s="8">
        <v>1936</v>
      </c>
      <c r="BS53" s="8">
        <v>1787</v>
      </c>
      <c r="BT53" s="8">
        <v>1933</v>
      </c>
      <c r="BU53" s="8">
        <v>1781</v>
      </c>
      <c r="BV53" s="8">
        <v>1788</v>
      </c>
      <c r="BW53" s="8">
        <v>1913</v>
      </c>
      <c r="BX53" s="8">
        <v>1774</v>
      </c>
      <c r="BY53" s="8">
        <v>1690</v>
      </c>
      <c r="BZ53" s="8">
        <v>2269</v>
      </c>
      <c r="CA53" s="8">
        <v>2148</v>
      </c>
      <c r="CB53" s="8">
        <v>1392</v>
      </c>
      <c r="CC53" s="8">
        <v>1445</v>
      </c>
      <c r="CD53" s="8">
        <v>5582</v>
      </c>
      <c r="CE53" s="8">
        <v>1748</v>
      </c>
      <c r="CF53" s="8">
        <v>1496</v>
      </c>
      <c r="CG53" s="8">
        <v>1817</v>
      </c>
      <c r="CH53" s="8">
        <v>1951</v>
      </c>
      <c r="CJ53" s="9"/>
      <c r="CK53" s="9"/>
      <c r="CL53" s="9"/>
      <c r="CM53" s="9"/>
      <c r="CN53" s="9"/>
      <c r="CO53" s="9"/>
      <c r="CP53" s="9"/>
      <c r="CQ53" s="9"/>
      <c r="CR53" s="9"/>
      <c r="CS53" s="9"/>
      <c r="CT53" s="9"/>
      <c r="CU53" s="9"/>
      <c r="CV53" s="9"/>
      <c r="CW53" s="9"/>
      <c r="CX53" s="9"/>
      <c r="CY53" s="9"/>
      <c r="CZ53" s="9"/>
      <c r="DA53" s="9"/>
      <c r="DB53" s="9"/>
      <c r="DC53" s="9"/>
      <c r="DD53" s="9"/>
      <c r="DE53" s="9"/>
      <c r="DF53" s="9"/>
      <c r="DG53" s="9"/>
      <c r="DH53" s="9"/>
      <c r="DI53" s="9"/>
      <c r="DJ53" s="9"/>
      <c r="DK53" s="9"/>
      <c r="DL53" s="9"/>
      <c r="DM53" s="9"/>
      <c r="DN53" s="9"/>
      <c r="DO53" s="9"/>
      <c r="DP53" s="9"/>
      <c r="DQ53" s="9"/>
      <c r="DR53" s="9"/>
      <c r="DS53" s="9"/>
      <c r="DT53" s="9"/>
      <c r="DU53" s="9"/>
      <c r="DV53" s="9"/>
      <c r="DW53" s="9"/>
      <c r="DX53" s="9"/>
      <c r="DY53" s="9"/>
      <c r="DZ53" s="9"/>
      <c r="EA53" s="9"/>
      <c r="EB53" s="9"/>
      <c r="EC53" s="9"/>
      <c r="ED53" s="9"/>
      <c r="EE53" s="9"/>
      <c r="EF53" s="9"/>
      <c r="EG53" s="9"/>
      <c r="EH53" s="9"/>
      <c r="EI53" s="9"/>
      <c r="EJ53" s="9"/>
      <c r="EK53" s="9"/>
      <c r="EL53" s="9"/>
      <c r="EM53" s="9"/>
      <c r="EN53" s="9"/>
      <c r="EO53" s="9"/>
      <c r="EP53" s="9"/>
      <c r="EQ53" s="9"/>
      <c r="ER53" s="9"/>
      <c r="ES53" s="9"/>
      <c r="ET53" s="9"/>
      <c r="EU53" s="9"/>
      <c r="EV53" s="9"/>
      <c r="EW53" s="9"/>
      <c r="EX53" s="9"/>
      <c r="EY53" s="9"/>
      <c r="EZ53" s="9"/>
      <c r="FA53" s="9"/>
      <c r="FB53" s="9"/>
      <c r="FC53" s="9"/>
      <c r="FD53" s="9"/>
      <c r="FE53" s="9"/>
      <c r="FF53" s="9"/>
      <c r="FG53" s="9"/>
      <c r="FH53" s="9"/>
      <c r="FI53" s="9"/>
    </row>
    <row r="54" spans="1:165" x14ac:dyDescent="0.2">
      <c r="A54" s="1" t="s">
        <v>437</v>
      </c>
      <c r="B54" s="1" t="s">
        <v>438</v>
      </c>
      <c r="C54" s="1" t="s">
        <v>439</v>
      </c>
      <c r="D54" s="1" t="str">
        <f>HYPERLINK("http://eros.fiehnlab.ucdavis.edu:8080/binbase-compound/bin/show/202859?db=rtx5","202859")</f>
        <v>202859</v>
      </c>
      <c r="E54" s="1" t="s">
        <v>440</v>
      </c>
      <c r="F54" s="1" t="str">
        <f>HYPERLINK("http://www.genome.ad.jp/dbget-bin/www_bget?compound+n/a","n/a")</f>
        <v>n/a</v>
      </c>
      <c r="G54" s="1" t="str">
        <f>HYPERLINK("http://pubchem.ncbi.nlm.nih.gov/summary/summary.cgi?cid=14900","14900")</f>
        <v>14900</v>
      </c>
      <c r="H54" s="1"/>
      <c r="I54" s="8">
        <v>233</v>
      </c>
      <c r="J54" s="8">
        <v>109</v>
      </c>
      <c r="K54" s="8">
        <v>174</v>
      </c>
      <c r="L54" s="8">
        <v>109</v>
      </c>
      <c r="M54" s="8">
        <v>169</v>
      </c>
      <c r="N54" s="8">
        <v>190</v>
      </c>
      <c r="O54" s="8">
        <v>240</v>
      </c>
      <c r="P54" s="8">
        <v>227</v>
      </c>
      <c r="Q54" s="8">
        <v>281</v>
      </c>
      <c r="R54" s="8">
        <v>197</v>
      </c>
      <c r="S54" s="8">
        <v>315</v>
      </c>
      <c r="T54" s="8">
        <v>249</v>
      </c>
      <c r="U54" s="8">
        <v>229</v>
      </c>
      <c r="V54" s="8">
        <v>207</v>
      </c>
      <c r="W54" s="8">
        <v>259</v>
      </c>
      <c r="X54" s="8">
        <v>318</v>
      </c>
      <c r="Y54" s="8">
        <v>200</v>
      </c>
      <c r="Z54" s="8">
        <v>236</v>
      </c>
      <c r="AA54" s="8">
        <v>151</v>
      </c>
      <c r="AB54" s="8">
        <v>218</v>
      </c>
      <c r="AC54" s="8">
        <v>231</v>
      </c>
      <c r="AD54" s="8">
        <v>200</v>
      </c>
      <c r="AE54" s="8">
        <v>306</v>
      </c>
      <c r="AF54" s="8">
        <v>147</v>
      </c>
      <c r="AG54" s="8">
        <v>278</v>
      </c>
      <c r="AH54" s="8">
        <v>238</v>
      </c>
      <c r="AI54" s="8">
        <v>287</v>
      </c>
      <c r="AJ54" s="8">
        <v>374</v>
      </c>
      <c r="AK54" s="8">
        <v>194</v>
      </c>
      <c r="AL54" s="8">
        <v>175</v>
      </c>
      <c r="AM54" s="8">
        <v>374</v>
      </c>
      <c r="AN54" s="8">
        <v>269</v>
      </c>
      <c r="AO54" s="8">
        <v>306</v>
      </c>
      <c r="AP54" s="8">
        <v>266</v>
      </c>
      <c r="AQ54" s="8">
        <v>239</v>
      </c>
      <c r="AR54" s="8">
        <v>198</v>
      </c>
      <c r="AS54" s="8">
        <v>158</v>
      </c>
      <c r="AT54" s="8">
        <v>238</v>
      </c>
      <c r="AU54" s="8">
        <v>162</v>
      </c>
      <c r="AV54" s="8">
        <v>272</v>
      </c>
      <c r="AW54" s="8">
        <v>253</v>
      </c>
      <c r="AX54" s="8">
        <v>387</v>
      </c>
      <c r="AY54" s="8">
        <v>276</v>
      </c>
      <c r="AZ54" s="8">
        <v>217</v>
      </c>
      <c r="BA54" s="8">
        <v>215</v>
      </c>
      <c r="BB54" s="8">
        <v>204</v>
      </c>
      <c r="BC54" s="8">
        <v>228</v>
      </c>
      <c r="BD54" s="8">
        <v>240</v>
      </c>
      <c r="BE54" s="8">
        <v>313</v>
      </c>
      <c r="BF54" s="8">
        <v>224</v>
      </c>
      <c r="BG54" s="8">
        <v>302</v>
      </c>
      <c r="BH54" s="8">
        <v>110</v>
      </c>
      <c r="BI54" s="8">
        <v>223</v>
      </c>
      <c r="BJ54" s="8">
        <v>271</v>
      </c>
      <c r="BK54" s="8">
        <v>170</v>
      </c>
      <c r="BL54" s="8">
        <v>348</v>
      </c>
      <c r="BM54" s="8">
        <v>259</v>
      </c>
      <c r="BN54" s="8">
        <v>130</v>
      </c>
      <c r="BO54" s="8">
        <v>322</v>
      </c>
      <c r="BP54" s="8">
        <v>200</v>
      </c>
      <c r="BQ54" s="8">
        <v>213</v>
      </c>
      <c r="BR54" s="8">
        <v>253</v>
      </c>
      <c r="BS54" s="8">
        <v>295</v>
      </c>
      <c r="BT54" s="8">
        <v>247</v>
      </c>
      <c r="BU54" s="8">
        <v>260</v>
      </c>
      <c r="BV54" s="8">
        <v>265</v>
      </c>
      <c r="BW54" s="8">
        <v>212</v>
      </c>
      <c r="BX54" s="8">
        <v>226</v>
      </c>
      <c r="BY54" s="8">
        <v>208</v>
      </c>
      <c r="BZ54" s="8">
        <v>199</v>
      </c>
      <c r="CA54" s="8">
        <v>227</v>
      </c>
      <c r="CB54" s="8">
        <v>167</v>
      </c>
      <c r="CC54" s="8">
        <v>241</v>
      </c>
      <c r="CD54" s="8">
        <v>645</v>
      </c>
      <c r="CE54" s="8">
        <v>247</v>
      </c>
      <c r="CF54" s="8">
        <v>128</v>
      </c>
      <c r="CG54" s="8">
        <v>256</v>
      </c>
      <c r="CH54" s="8">
        <v>276</v>
      </c>
      <c r="CJ54" s="9"/>
      <c r="CK54" s="9"/>
      <c r="CL54" s="9"/>
      <c r="CM54" s="9"/>
      <c r="CN54" s="9"/>
      <c r="CO54" s="9"/>
      <c r="CP54" s="9"/>
      <c r="CQ54" s="9"/>
      <c r="CR54" s="9"/>
      <c r="CS54" s="9"/>
      <c r="CT54" s="9"/>
      <c r="CU54" s="9"/>
      <c r="CV54" s="9"/>
      <c r="CW54" s="9"/>
      <c r="CX54" s="9"/>
      <c r="CY54" s="9"/>
      <c r="CZ54" s="9"/>
      <c r="DA54" s="9"/>
      <c r="DB54" s="9"/>
      <c r="DC54" s="9"/>
      <c r="DD54" s="9"/>
      <c r="DE54" s="9"/>
      <c r="DF54" s="9"/>
      <c r="DG54" s="9"/>
      <c r="DH54" s="9"/>
      <c r="DI54" s="9"/>
      <c r="DJ54" s="9"/>
      <c r="DK54" s="9"/>
      <c r="DL54" s="9"/>
      <c r="DM54" s="9"/>
      <c r="DN54" s="9"/>
      <c r="DO54" s="9"/>
      <c r="DP54" s="9"/>
      <c r="DQ54" s="9"/>
      <c r="DR54" s="9"/>
      <c r="DS54" s="9"/>
      <c r="DT54" s="9"/>
      <c r="DU54" s="9"/>
      <c r="DV54" s="9"/>
      <c r="DW54" s="9"/>
      <c r="DX54" s="9"/>
      <c r="DY54" s="9"/>
      <c r="DZ54" s="9"/>
      <c r="EA54" s="9"/>
      <c r="EB54" s="9"/>
      <c r="EC54" s="9"/>
      <c r="ED54" s="9"/>
      <c r="EE54" s="9"/>
      <c r="EF54" s="9"/>
      <c r="EG54" s="9"/>
      <c r="EH54" s="9"/>
      <c r="EI54" s="9"/>
      <c r="EJ54" s="9"/>
      <c r="EK54" s="9"/>
      <c r="EL54" s="9"/>
      <c r="EM54" s="9"/>
      <c r="EN54" s="9"/>
      <c r="EO54" s="9"/>
      <c r="EP54" s="9"/>
      <c r="EQ54" s="9"/>
      <c r="ER54" s="9"/>
      <c r="ES54" s="9"/>
      <c r="ET54" s="9"/>
      <c r="EU54" s="9"/>
      <c r="EV54" s="9"/>
      <c r="EW54" s="9"/>
      <c r="EX54" s="9"/>
      <c r="EY54" s="9"/>
      <c r="EZ54" s="9"/>
      <c r="FA54" s="9"/>
      <c r="FB54" s="9"/>
      <c r="FC54" s="9"/>
      <c r="FD54" s="9"/>
      <c r="FE54" s="9"/>
      <c r="FF54" s="9"/>
      <c r="FG54" s="9"/>
      <c r="FH54" s="9"/>
      <c r="FI54" s="9"/>
    </row>
    <row r="55" spans="1:165" x14ac:dyDescent="0.2">
      <c r="A55" s="1" t="s">
        <v>441</v>
      </c>
      <c r="B55" s="1" t="s">
        <v>442</v>
      </c>
      <c r="C55" s="1" t="s">
        <v>304</v>
      </c>
      <c r="D55" s="1" t="str">
        <f>HYPERLINK("http://eros.fiehnlab.ucdavis.edu:8080/binbase-compound/bin/show/200398?db=rtx5","200398")</f>
        <v>200398</v>
      </c>
      <c r="E55" s="1" t="s">
        <v>443</v>
      </c>
      <c r="F55" s="1" t="str">
        <f>HYPERLINK("http://www.genome.ad.jp/dbget-bin/www_bget?compound+n/a","n/a")</f>
        <v>n/a</v>
      </c>
      <c r="G55" s="1" t="str">
        <f>HYPERLINK("http://pubchem.ncbi.nlm.nih.gov/summary/summary.cgi?cid=10465","10465")</f>
        <v>10465</v>
      </c>
      <c r="H55" s="1"/>
      <c r="I55" s="8">
        <v>1676</v>
      </c>
      <c r="J55" s="8">
        <v>1252</v>
      </c>
      <c r="K55" s="8">
        <v>1223</v>
      </c>
      <c r="L55" s="8">
        <v>1072</v>
      </c>
      <c r="M55" s="8">
        <v>1854</v>
      </c>
      <c r="N55" s="8">
        <v>1470</v>
      </c>
      <c r="O55" s="8">
        <v>1874</v>
      </c>
      <c r="P55" s="8">
        <v>1560</v>
      </c>
      <c r="Q55" s="8">
        <v>2383</v>
      </c>
      <c r="R55" s="8">
        <v>1988</v>
      </c>
      <c r="S55" s="8">
        <v>2355</v>
      </c>
      <c r="T55" s="8">
        <v>1999</v>
      </c>
      <c r="U55" s="8">
        <v>1084</v>
      </c>
      <c r="V55" s="8">
        <v>1303</v>
      </c>
      <c r="W55" s="8">
        <v>2225</v>
      </c>
      <c r="X55" s="8">
        <v>3008</v>
      </c>
      <c r="Y55" s="8">
        <v>1384</v>
      </c>
      <c r="Z55" s="8">
        <v>2853</v>
      </c>
      <c r="AA55" s="8">
        <v>958</v>
      </c>
      <c r="AB55" s="8">
        <v>1459</v>
      </c>
      <c r="AC55" s="8">
        <v>1266</v>
      </c>
      <c r="AD55" s="8">
        <v>1487</v>
      </c>
      <c r="AE55" s="8">
        <v>1930</v>
      </c>
      <c r="AF55" s="8">
        <v>1301</v>
      </c>
      <c r="AG55" s="8">
        <v>1760</v>
      </c>
      <c r="AH55" s="8">
        <v>1002</v>
      </c>
      <c r="AI55" s="8">
        <v>1878</v>
      </c>
      <c r="AJ55" s="8">
        <v>2842</v>
      </c>
      <c r="AK55" s="8">
        <v>1680</v>
      </c>
      <c r="AL55" s="8">
        <v>2777</v>
      </c>
      <c r="AM55" s="8">
        <v>1743</v>
      </c>
      <c r="AN55" s="8">
        <v>1381</v>
      </c>
      <c r="AO55" s="8">
        <v>1485</v>
      </c>
      <c r="AP55" s="8">
        <v>2084</v>
      </c>
      <c r="AQ55" s="8">
        <v>1759</v>
      </c>
      <c r="AR55" s="8">
        <v>1300</v>
      </c>
      <c r="AS55" s="8">
        <v>1792</v>
      </c>
      <c r="AT55" s="8">
        <v>1803</v>
      </c>
      <c r="AU55" s="8">
        <v>1500</v>
      </c>
      <c r="AV55" s="8">
        <v>1355</v>
      </c>
      <c r="AW55" s="8">
        <v>2703</v>
      </c>
      <c r="AX55" s="8">
        <v>1460</v>
      </c>
      <c r="AY55" s="8">
        <v>1549</v>
      </c>
      <c r="AZ55" s="8">
        <v>1931</v>
      </c>
      <c r="BA55" s="8">
        <v>1805</v>
      </c>
      <c r="BB55" s="8">
        <v>2254</v>
      </c>
      <c r="BC55" s="8">
        <v>1807</v>
      </c>
      <c r="BD55" s="8">
        <v>1923</v>
      </c>
      <c r="BE55" s="8">
        <v>1426</v>
      </c>
      <c r="BF55" s="8">
        <v>1157</v>
      </c>
      <c r="BG55" s="8">
        <v>2284</v>
      </c>
      <c r="BH55" s="8">
        <v>1439</v>
      </c>
      <c r="BI55" s="8">
        <v>2161</v>
      </c>
      <c r="BJ55" s="8">
        <v>1721</v>
      </c>
      <c r="BK55" s="8">
        <v>1626</v>
      </c>
      <c r="BL55" s="8">
        <v>1933</v>
      </c>
      <c r="BM55" s="8">
        <v>2479</v>
      </c>
      <c r="BN55" s="8">
        <v>1907</v>
      </c>
      <c r="BO55" s="8">
        <v>2621</v>
      </c>
      <c r="BP55" s="8">
        <v>2565</v>
      </c>
      <c r="BQ55" s="8">
        <v>1405</v>
      </c>
      <c r="BR55" s="8">
        <v>1627</v>
      </c>
      <c r="BS55" s="8">
        <v>1594</v>
      </c>
      <c r="BT55" s="8">
        <v>1394</v>
      </c>
      <c r="BU55" s="8">
        <v>2118</v>
      </c>
      <c r="BV55" s="8">
        <v>1754</v>
      </c>
      <c r="BW55" s="8">
        <v>1392</v>
      </c>
      <c r="BX55" s="8">
        <v>1331</v>
      </c>
      <c r="BY55" s="8">
        <v>1137</v>
      </c>
      <c r="BZ55" s="8">
        <v>1766</v>
      </c>
      <c r="CA55" s="8">
        <v>2075</v>
      </c>
      <c r="CB55" s="8">
        <v>1149</v>
      </c>
      <c r="CC55" s="8">
        <v>1014</v>
      </c>
      <c r="CD55" s="8">
        <v>8131</v>
      </c>
      <c r="CE55" s="8">
        <v>1273</v>
      </c>
      <c r="CF55" s="8">
        <v>1183</v>
      </c>
      <c r="CG55" s="8">
        <v>1928</v>
      </c>
      <c r="CH55" s="8">
        <v>1820</v>
      </c>
      <c r="CJ55" s="9"/>
      <c r="CK55" s="9"/>
      <c r="CL55" s="9"/>
      <c r="CM55" s="9"/>
      <c r="CN55" s="9"/>
      <c r="CO55" s="9"/>
      <c r="CP55" s="9"/>
      <c r="CQ55" s="9"/>
      <c r="CR55" s="9"/>
      <c r="CS55" s="9"/>
      <c r="CT55" s="9"/>
      <c r="CU55" s="9"/>
      <c r="CV55" s="9"/>
      <c r="CW55" s="9"/>
      <c r="CX55" s="9"/>
      <c r="CY55" s="9"/>
      <c r="CZ55" s="9"/>
      <c r="DA55" s="9"/>
      <c r="DB55" s="9"/>
      <c r="DC55" s="9"/>
      <c r="DD55" s="9"/>
      <c r="DE55" s="9"/>
      <c r="DF55" s="9"/>
      <c r="DG55" s="9"/>
      <c r="DH55" s="9"/>
      <c r="DI55" s="9"/>
      <c r="DJ55" s="9"/>
      <c r="DK55" s="9"/>
      <c r="DL55" s="9"/>
      <c r="DM55" s="9"/>
      <c r="DN55" s="9"/>
      <c r="DO55" s="9"/>
      <c r="DP55" s="9"/>
      <c r="DQ55" s="9"/>
      <c r="DR55" s="9"/>
      <c r="DS55" s="9"/>
      <c r="DT55" s="9"/>
      <c r="DU55" s="9"/>
      <c r="DV55" s="9"/>
      <c r="DW55" s="9"/>
      <c r="DX55" s="9"/>
      <c r="DY55" s="9"/>
      <c r="DZ55" s="9"/>
      <c r="EA55" s="9"/>
      <c r="EB55" s="9"/>
      <c r="EC55" s="9"/>
      <c r="ED55" s="9"/>
      <c r="EE55" s="9"/>
      <c r="EF55" s="9"/>
      <c r="EG55" s="9"/>
      <c r="EH55" s="9"/>
      <c r="EI55" s="9"/>
      <c r="EJ55" s="9"/>
      <c r="EK55" s="9"/>
      <c r="EL55" s="9"/>
      <c r="EM55" s="9"/>
      <c r="EN55" s="9"/>
      <c r="EO55" s="9"/>
      <c r="EP55" s="9"/>
      <c r="EQ55" s="9"/>
      <c r="ER55" s="9"/>
      <c r="ES55" s="9"/>
      <c r="ET55" s="9"/>
      <c r="EU55" s="9"/>
      <c r="EV55" s="9"/>
      <c r="EW55" s="9"/>
      <c r="EX55" s="9"/>
      <c r="EY55" s="9"/>
      <c r="EZ55" s="9"/>
      <c r="FA55" s="9"/>
      <c r="FB55" s="9"/>
      <c r="FC55" s="9"/>
      <c r="FD55" s="9"/>
      <c r="FE55" s="9"/>
      <c r="FF55" s="9"/>
      <c r="FG55" s="9"/>
      <c r="FH55" s="9"/>
      <c r="FI55" s="9"/>
    </row>
    <row r="56" spans="1:165" x14ac:dyDescent="0.2">
      <c r="A56" s="1" t="s">
        <v>444</v>
      </c>
      <c r="B56" s="1" t="s">
        <v>445</v>
      </c>
      <c r="C56" s="1" t="s">
        <v>446</v>
      </c>
      <c r="D56" s="1" t="str">
        <f>HYPERLINK("http://eros.fiehnlab.ucdavis.edu:8080/binbase-compound/bin/show/243699?db=rtx5","243699")</f>
        <v>243699</v>
      </c>
      <c r="E56" s="1" t="s">
        <v>447</v>
      </c>
      <c r="F56" s="1" t="str">
        <f>HYPERLINK("http://www.genome.ad.jp/dbget-bin/www_bget?compound+C00073","C00073")</f>
        <v>C00073</v>
      </c>
      <c r="G56" s="1" t="str">
        <f>HYPERLINK("http://pubchem.ncbi.nlm.nih.gov/summary/summary.cgi?cid=6137","6137")</f>
        <v>6137</v>
      </c>
      <c r="H56" s="1"/>
      <c r="I56" s="8">
        <v>3570</v>
      </c>
      <c r="J56" s="8">
        <v>4561</v>
      </c>
      <c r="K56" s="8">
        <v>3472</v>
      </c>
      <c r="L56" s="8">
        <v>3591</v>
      </c>
      <c r="M56" s="8">
        <v>4276</v>
      </c>
      <c r="N56" s="8">
        <v>4144</v>
      </c>
      <c r="O56" s="8">
        <v>5196</v>
      </c>
      <c r="P56" s="8">
        <v>5181</v>
      </c>
      <c r="Q56" s="8">
        <v>4804</v>
      </c>
      <c r="R56" s="8">
        <v>3789</v>
      </c>
      <c r="S56" s="8">
        <v>4171</v>
      </c>
      <c r="T56" s="8">
        <v>5241</v>
      </c>
      <c r="U56" s="8">
        <v>4689</v>
      </c>
      <c r="V56" s="8">
        <v>4454</v>
      </c>
      <c r="W56" s="8">
        <v>3029</v>
      </c>
      <c r="X56" s="8">
        <v>5973</v>
      </c>
      <c r="Y56" s="8">
        <v>5001</v>
      </c>
      <c r="Z56" s="8">
        <v>3775</v>
      </c>
      <c r="AA56" s="8">
        <v>3831</v>
      </c>
      <c r="AB56" s="8">
        <v>3644</v>
      </c>
      <c r="AC56" s="8">
        <v>2249</v>
      </c>
      <c r="AD56" s="8">
        <v>2831</v>
      </c>
      <c r="AE56" s="8">
        <v>2670</v>
      </c>
      <c r="AF56" s="8">
        <v>2964</v>
      </c>
      <c r="AG56" s="8">
        <v>4288</v>
      </c>
      <c r="AH56" s="8">
        <v>3342</v>
      </c>
      <c r="AI56" s="8">
        <v>4016</v>
      </c>
      <c r="AJ56" s="8">
        <v>4877</v>
      </c>
      <c r="AK56" s="8">
        <v>3894</v>
      </c>
      <c r="AL56" s="8">
        <v>4669</v>
      </c>
      <c r="AM56" s="8">
        <v>5459</v>
      </c>
      <c r="AN56" s="8">
        <v>5043</v>
      </c>
      <c r="AO56" s="8">
        <v>4976</v>
      </c>
      <c r="AP56" s="8">
        <v>4781</v>
      </c>
      <c r="AQ56" s="8">
        <v>5727</v>
      </c>
      <c r="AR56" s="8">
        <v>5305</v>
      </c>
      <c r="AS56" s="8">
        <v>5949</v>
      </c>
      <c r="AT56" s="8">
        <v>5670</v>
      </c>
      <c r="AU56" s="8">
        <v>6255</v>
      </c>
      <c r="AV56" s="8">
        <v>6513</v>
      </c>
      <c r="AW56" s="8">
        <v>5373</v>
      </c>
      <c r="AX56" s="8">
        <v>6035</v>
      </c>
      <c r="AY56" s="8">
        <v>3568</v>
      </c>
      <c r="AZ56" s="8">
        <v>3495</v>
      </c>
      <c r="BA56" s="8">
        <v>4017</v>
      </c>
      <c r="BB56" s="8">
        <v>3761</v>
      </c>
      <c r="BC56" s="8">
        <v>4017</v>
      </c>
      <c r="BD56" s="8">
        <v>3087</v>
      </c>
      <c r="BE56" s="8">
        <v>3475</v>
      </c>
      <c r="BF56" s="8">
        <v>3441</v>
      </c>
      <c r="BG56" s="8">
        <v>4595</v>
      </c>
      <c r="BH56" s="8">
        <v>4567</v>
      </c>
      <c r="BI56" s="8">
        <v>3874</v>
      </c>
      <c r="BJ56" s="8">
        <v>3809</v>
      </c>
      <c r="BK56" s="8">
        <v>5559</v>
      </c>
      <c r="BL56" s="8">
        <v>5917</v>
      </c>
      <c r="BM56" s="8">
        <v>6426</v>
      </c>
      <c r="BN56" s="8">
        <v>5658</v>
      </c>
      <c r="BO56" s="8">
        <v>5420</v>
      </c>
      <c r="BP56" s="8">
        <v>4597</v>
      </c>
      <c r="BQ56" s="8">
        <v>5943</v>
      </c>
      <c r="BR56" s="8">
        <v>6664</v>
      </c>
      <c r="BS56" s="8">
        <v>5868</v>
      </c>
      <c r="BT56" s="8">
        <v>6050</v>
      </c>
      <c r="BU56" s="8">
        <v>6752</v>
      </c>
      <c r="BV56" s="8">
        <v>5730</v>
      </c>
      <c r="BW56" s="8">
        <v>3628</v>
      </c>
      <c r="BX56" s="8">
        <v>3585</v>
      </c>
      <c r="BY56" s="8">
        <v>3666</v>
      </c>
      <c r="BZ56" s="8">
        <v>3393</v>
      </c>
      <c r="CA56" s="8">
        <v>3254</v>
      </c>
      <c r="CB56" s="8">
        <v>2643</v>
      </c>
      <c r="CC56" s="8">
        <v>3171</v>
      </c>
      <c r="CD56" s="8">
        <v>3462</v>
      </c>
      <c r="CE56" s="8">
        <v>3713</v>
      </c>
      <c r="CF56" s="8">
        <v>4800</v>
      </c>
      <c r="CG56" s="8">
        <v>4647</v>
      </c>
      <c r="CH56" s="8">
        <v>4122</v>
      </c>
      <c r="CJ56" s="9"/>
      <c r="CK56" s="9"/>
      <c r="CL56" s="9"/>
      <c r="CM56" s="9"/>
      <c r="CN56" s="9"/>
      <c r="CO56" s="9"/>
      <c r="CP56" s="9"/>
      <c r="CQ56" s="9"/>
      <c r="CR56" s="9"/>
      <c r="CS56" s="9"/>
      <c r="CT56" s="9"/>
      <c r="CU56" s="9"/>
      <c r="CV56" s="9"/>
      <c r="CW56" s="9"/>
      <c r="CX56" s="9"/>
      <c r="CY56" s="9"/>
      <c r="CZ56" s="9"/>
      <c r="DA56" s="9"/>
      <c r="DB56" s="9"/>
      <c r="DC56" s="9"/>
      <c r="DD56" s="9"/>
      <c r="DE56" s="9"/>
      <c r="DF56" s="9"/>
      <c r="DG56" s="9"/>
      <c r="DH56" s="9"/>
      <c r="DI56" s="9"/>
      <c r="DJ56" s="9"/>
      <c r="DK56" s="9"/>
      <c r="DL56" s="9"/>
      <c r="DM56" s="9"/>
      <c r="DN56" s="9"/>
      <c r="DO56" s="9"/>
      <c r="DP56" s="9"/>
      <c r="DQ56" s="9"/>
      <c r="DR56" s="9"/>
      <c r="DS56" s="9"/>
      <c r="DT56" s="9"/>
      <c r="DU56" s="9"/>
      <c r="DV56" s="9"/>
      <c r="DW56" s="9"/>
      <c r="DX56" s="9"/>
      <c r="DY56" s="9"/>
      <c r="DZ56" s="9"/>
      <c r="EA56" s="9"/>
      <c r="EB56" s="9"/>
      <c r="EC56" s="9"/>
      <c r="ED56" s="9"/>
      <c r="EE56" s="9"/>
      <c r="EF56" s="9"/>
      <c r="EG56" s="9"/>
      <c r="EH56" s="9"/>
      <c r="EI56" s="9"/>
      <c r="EJ56" s="9"/>
      <c r="EK56" s="9"/>
      <c r="EL56" s="9"/>
      <c r="EM56" s="9"/>
      <c r="EN56" s="9"/>
      <c r="EO56" s="9"/>
      <c r="EP56" s="9"/>
      <c r="EQ56" s="9"/>
      <c r="ER56" s="9"/>
      <c r="ES56" s="9"/>
      <c r="ET56" s="9"/>
      <c r="EU56" s="9"/>
      <c r="EV56" s="9"/>
      <c r="EW56" s="9"/>
      <c r="EX56" s="9"/>
      <c r="EY56" s="9"/>
      <c r="EZ56" s="9"/>
      <c r="FA56" s="9"/>
      <c r="FB56" s="9"/>
      <c r="FC56" s="9"/>
      <c r="FD56" s="9"/>
      <c r="FE56" s="9"/>
      <c r="FF56" s="9"/>
      <c r="FG56" s="9"/>
      <c r="FH56" s="9"/>
      <c r="FI56" s="9"/>
    </row>
    <row r="57" spans="1:165" x14ac:dyDescent="0.2">
      <c r="A57" s="1" t="s">
        <v>448</v>
      </c>
      <c r="B57" s="1" t="s">
        <v>449</v>
      </c>
      <c r="C57" s="1" t="s">
        <v>366</v>
      </c>
      <c r="D57" s="1" t="str">
        <f>HYPERLINK("http://eros.fiehnlab.ucdavis.edu:8080/binbase-compound/bin/show/307665?db=rtx5","307665")</f>
        <v>307665</v>
      </c>
      <c r="E57" s="1" t="s">
        <v>450</v>
      </c>
      <c r="F57" s="1" t="str">
        <f>HYPERLINK("http://www.genome.ad.jp/dbget-bin/www_bget?compound+n/a","n/a")</f>
        <v>n/a</v>
      </c>
      <c r="G57" s="1" t="str">
        <f>HYPERLINK("http://pubchem.ncbi.nlm.nih.gov/summary/summary.cgi?cid=13130","13130")</f>
        <v>13130</v>
      </c>
      <c r="H57" s="1"/>
      <c r="I57" s="8">
        <v>3508</v>
      </c>
      <c r="J57" s="8">
        <v>3309</v>
      </c>
      <c r="K57" s="8">
        <v>2169</v>
      </c>
      <c r="L57" s="8">
        <v>2787</v>
      </c>
      <c r="M57" s="8">
        <v>3505</v>
      </c>
      <c r="N57" s="8">
        <v>4092</v>
      </c>
      <c r="O57" s="8">
        <v>9294</v>
      </c>
      <c r="P57" s="8">
        <v>13462</v>
      </c>
      <c r="Q57" s="8">
        <v>10149</v>
      </c>
      <c r="R57" s="8">
        <v>7235</v>
      </c>
      <c r="S57" s="8">
        <v>10185</v>
      </c>
      <c r="T57" s="8">
        <v>6423</v>
      </c>
      <c r="U57" s="8">
        <v>9078</v>
      </c>
      <c r="V57" s="8">
        <v>9433</v>
      </c>
      <c r="W57" s="8">
        <v>9162</v>
      </c>
      <c r="X57" s="8">
        <v>14022</v>
      </c>
      <c r="Y57" s="8">
        <v>5860</v>
      </c>
      <c r="Z57" s="8">
        <v>4036</v>
      </c>
      <c r="AA57" s="8">
        <v>1769</v>
      </c>
      <c r="AB57" s="8">
        <v>4082</v>
      </c>
      <c r="AC57" s="8">
        <v>7962</v>
      </c>
      <c r="AD57" s="8">
        <v>3803</v>
      </c>
      <c r="AE57" s="8">
        <v>5097</v>
      </c>
      <c r="AF57" s="8">
        <v>3317</v>
      </c>
      <c r="AG57" s="8">
        <v>7789</v>
      </c>
      <c r="AH57" s="8">
        <v>9300</v>
      </c>
      <c r="AI57" s="8">
        <v>5866</v>
      </c>
      <c r="AJ57" s="8">
        <v>11362</v>
      </c>
      <c r="AK57" s="8">
        <v>8539</v>
      </c>
      <c r="AL57" s="8">
        <v>6828</v>
      </c>
      <c r="AM57" s="8">
        <v>11519</v>
      </c>
      <c r="AN57" s="8">
        <v>10445</v>
      </c>
      <c r="AO57" s="8">
        <v>8257</v>
      </c>
      <c r="AP57" s="8">
        <v>10629</v>
      </c>
      <c r="AQ57" s="8">
        <v>9465</v>
      </c>
      <c r="AR57" s="8">
        <v>7409</v>
      </c>
      <c r="AS57" s="8">
        <v>12197</v>
      </c>
      <c r="AT57" s="8">
        <v>9675</v>
      </c>
      <c r="AU57" s="8">
        <v>6099</v>
      </c>
      <c r="AV57" s="8">
        <v>6910</v>
      </c>
      <c r="AW57" s="8">
        <v>11221</v>
      </c>
      <c r="AX57" s="8">
        <v>10856</v>
      </c>
      <c r="AY57" s="8">
        <v>4843</v>
      </c>
      <c r="AZ57" s="8">
        <v>4822</v>
      </c>
      <c r="BA57" s="8">
        <v>1963</v>
      </c>
      <c r="BB57" s="8">
        <v>3565</v>
      </c>
      <c r="BC57" s="8">
        <v>5009</v>
      </c>
      <c r="BD57" s="8">
        <v>4079</v>
      </c>
      <c r="BE57" s="8">
        <v>13994</v>
      </c>
      <c r="BF57" s="8">
        <v>7086</v>
      </c>
      <c r="BG57" s="8">
        <v>7235</v>
      </c>
      <c r="BH57" s="8">
        <v>6664</v>
      </c>
      <c r="BI57" s="8">
        <v>12937</v>
      </c>
      <c r="BJ57" s="8">
        <v>11491</v>
      </c>
      <c r="BK57" s="8">
        <v>10125</v>
      </c>
      <c r="BL57" s="8">
        <v>7872</v>
      </c>
      <c r="BM57" s="8">
        <v>9449</v>
      </c>
      <c r="BN57" s="8">
        <v>7818</v>
      </c>
      <c r="BO57" s="8">
        <v>12086</v>
      </c>
      <c r="BP57" s="8">
        <v>8301</v>
      </c>
      <c r="BQ57" s="8">
        <v>3926</v>
      </c>
      <c r="BR57" s="8">
        <v>8628</v>
      </c>
      <c r="BS57" s="8">
        <v>9886</v>
      </c>
      <c r="BT57" s="8">
        <v>8943</v>
      </c>
      <c r="BU57" s="8">
        <v>8271</v>
      </c>
      <c r="BV57" s="8">
        <v>6126</v>
      </c>
      <c r="BW57" s="8">
        <v>4205</v>
      </c>
      <c r="BX57" s="8">
        <v>3577</v>
      </c>
      <c r="BY57" s="8">
        <v>4580</v>
      </c>
      <c r="BZ57" s="8">
        <v>5295</v>
      </c>
      <c r="CA57" s="8">
        <v>5490</v>
      </c>
      <c r="CB57" s="8">
        <v>3627</v>
      </c>
      <c r="CC57" s="8">
        <v>6979</v>
      </c>
      <c r="CD57" s="8">
        <v>8129</v>
      </c>
      <c r="CE57" s="8">
        <v>9443</v>
      </c>
      <c r="CF57" s="8">
        <v>7384</v>
      </c>
      <c r="CG57" s="8">
        <v>8451</v>
      </c>
      <c r="CH57" s="8">
        <v>11024</v>
      </c>
      <c r="CJ57" s="9"/>
      <c r="CK57" s="9"/>
      <c r="CL57" s="9"/>
      <c r="CM57" s="9"/>
      <c r="CN57" s="9"/>
      <c r="CO57" s="9"/>
      <c r="CP57" s="9"/>
      <c r="CQ57" s="9"/>
      <c r="CR57" s="9"/>
      <c r="CS57" s="9"/>
      <c r="CT57" s="9"/>
      <c r="CU57" s="9"/>
      <c r="CV57" s="9"/>
      <c r="CW57" s="9"/>
      <c r="CX57" s="9"/>
      <c r="CY57" s="9"/>
      <c r="CZ57" s="9"/>
      <c r="DA57" s="9"/>
      <c r="DB57" s="9"/>
      <c r="DC57" s="9"/>
      <c r="DD57" s="9"/>
      <c r="DE57" s="9"/>
      <c r="DF57" s="9"/>
      <c r="DG57" s="9"/>
      <c r="DH57" s="9"/>
      <c r="DI57" s="9"/>
      <c r="DJ57" s="9"/>
      <c r="DK57" s="9"/>
      <c r="DL57" s="9"/>
      <c r="DM57" s="9"/>
      <c r="DN57" s="9"/>
      <c r="DO57" s="9"/>
      <c r="DP57" s="9"/>
      <c r="DQ57" s="9"/>
      <c r="DR57" s="9"/>
      <c r="DS57" s="9"/>
      <c r="DT57" s="9"/>
      <c r="DU57" s="9"/>
      <c r="DV57" s="9"/>
      <c r="DW57" s="9"/>
      <c r="DX57" s="9"/>
      <c r="DY57" s="9"/>
      <c r="DZ57" s="9"/>
      <c r="EA57" s="9"/>
      <c r="EB57" s="9"/>
      <c r="EC57" s="9"/>
      <c r="ED57" s="9"/>
      <c r="EE57" s="9"/>
      <c r="EF57" s="9"/>
      <c r="EG57" s="9"/>
      <c r="EH57" s="9"/>
      <c r="EI57" s="9"/>
      <c r="EJ57" s="9"/>
      <c r="EK57" s="9"/>
      <c r="EL57" s="9"/>
      <c r="EM57" s="9"/>
      <c r="EN57" s="9"/>
      <c r="EO57" s="9"/>
      <c r="EP57" s="9"/>
      <c r="EQ57" s="9"/>
      <c r="ER57" s="9"/>
      <c r="ES57" s="9"/>
      <c r="ET57" s="9"/>
      <c r="EU57" s="9"/>
      <c r="EV57" s="9"/>
      <c r="EW57" s="9"/>
      <c r="EX57" s="9"/>
      <c r="EY57" s="9"/>
      <c r="EZ57" s="9"/>
      <c r="FA57" s="9"/>
      <c r="FB57" s="9"/>
      <c r="FC57" s="9"/>
      <c r="FD57" s="9"/>
      <c r="FE57" s="9"/>
      <c r="FF57" s="9"/>
      <c r="FG57" s="9"/>
      <c r="FH57" s="9"/>
      <c r="FI57" s="9"/>
    </row>
    <row r="58" spans="1:165" x14ac:dyDescent="0.2">
      <c r="A58" s="1" t="s">
        <v>451</v>
      </c>
      <c r="B58" s="1" t="s">
        <v>452</v>
      </c>
      <c r="C58" s="1" t="s">
        <v>453</v>
      </c>
      <c r="D58" s="1" t="str">
        <f>HYPERLINK("http://eros.fiehnlab.ucdavis.edu:8080/binbase-compound/bin/show/238323?db=rtx5","238323")</f>
        <v>238323</v>
      </c>
      <c r="E58" s="1" t="s">
        <v>454</v>
      </c>
      <c r="F58" s="1" t="str">
        <f>HYPERLINK("http://www.genome.ad.jp/dbget-bin/www_bget?compound+C00275","C00275")</f>
        <v>C00275</v>
      </c>
      <c r="G58" s="1" t="str">
        <f>HYPERLINK("http://pubchem.ncbi.nlm.nih.gov/summary/summary.cgi?cid=65127","65127")</f>
        <v>65127</v>
      </c>
      <c r="H58" s="1"/>
      <c r="I58" s="8">
        <v>170</v>
      </c>
      <c r="J58" s="8">
        <v>821</v>
      </c>
      <c r="K58" s="8">
        <v>222</v>
      </c>
      <c r="L58" s="8">
        <v>773</v>
      </c>
      <c r="M58" s="8">
        <v>266</v>
      </c>
      <c r="N58" s="8">
        <v>816</v>
      </c>
      <c r="O58" s="8">
        <v>2482</v>
      </c>
      <c r="P58" s="8">
        <v>177</v>
      </c>
      <c r="Q58" s="8">
        <v>3483</v>
      </c>
      <c r="R58" s="8">
        <v>674</v>
      </c>
      <c r="S58" s="8">
        <v>1480</v>
      </c>
      <c r="T58" s="8">
        <v>234</v>
      </c>
      <c r="U58" s="8">
        <v>268</v>
      </c>
      <c r="V58" s="8">
        <v>1030</v>
      </c>
      <c r="W58" s="8">
        <v>748</v>
      </c>
      <c r="X58" s="8">
        <v>1097</v>
      </c>
      <c r="Y58" s="8">
        <v>1332</v>
      </c>
      <c r="Z58" s="8">
        <v>830</v>
      </c>
      <c r="AA58" s="8">
        <v>206</v>
      </c>
      <c r="AB58" s="8">
        <v>1604</v>
      </c>
      <c r="AC58" s="8">
        <v>483</v>
      </c>
      <c r="AD58" s="8">
        <v>489</v>
      </c>
      <c r="AE58" s="8">
        <v>352</v>
      </c>
      <c r="AF58" s="8">
        <v>1345</v>
      </c>
      <c r="AG58" s="8">
        <v>484</v>
      </c>
      <c r="AH58" s="8">
        <v>1513</v>
      </c>
      <c r="AI58" s="8">
        <v>1150</v>
      </c>
      <c r="AJ58" s="8">
        <v>340</v>
      </c>
      <c r="AK58" s="8">
        <v>1361</v>
      </c>
      <c r="AL58" s="8">
        <v>2892</v>
      </c>
      <c r="AM58" s="8">
        <v>854</v>
      </c>
      <c r="AN58" s="8">
        <v>749</v>
      </c>
      <c r="AO58" s="8">
        <v>197</v>
      </c>
      <c r="AP58" s="8">
        <v>154</v>
      </c>
      <c r="AQ58" s="8">
        <v>317</v>
      </c>
      <c r="AR58" s="8">
        <v>1508</v>
      </c>
      <c r="AS58" s="8">
        <v>240</v>
      </c>
      <c r="AT58" s="8">
        <v>241</v>
      </c>
      <c r="AU58" s="8">
        <v>300</v>
      </c>
      <c r="AV58" s="8">
        <v>554</v>
      </c>
      <c r="AW58" s="8">
        <v>218</v>
      </c>
      <c r="AX58" s="8">
        <v>300</v>
      </c>
      <c r="AY58" s="8">
        <v>172</v>
      </c>
      <c r="AZ58" s="8">
        <v>155</v>
      </c>
      <c r="BA58" s="8">
        <v>142</v>
      </c>
      <c r="BB58" s="8">
        <v>85</v>
      </c>
      <c r="BC58" s="8">
        <v>154</v>
      </c>
      <c r="BD58" s="8">
        <v>348</v>
      </c>
      <c r="BE58" s="8">
        <v>159</v>
      </c>
      <c r="BF58" s="8">
        <v>924</v>
      </c>
      <c r="BG58" s="8">
        <v>169</v>
      </c>
      <c r="BH58" s="8">
        <v>210</v>
      </c>
      <c r="BI58" s="8">
        <v>332</v>
      </c>
      <c r="BJ58" s="8">
        <v>179</v>
      </c>
      <c r="BK58" s="8">
        <v>434</v>
      </c>
      <c r="BL58" s="8">
        <v>369</v>
      </c>
      <c r="BM58" s="8">
        <v>414</v>
      </c>
      <c r="BN58" s="8">
        <v>280</v>
      </c>
      <c r="BO58" s="8">
        <v>474</v>
      </c>
      <c r="BP58" s="8">
        <v>635</v>
      </c>
      <c r="BQ58" s="8">
        <v>193</v>
      </c>
      <c r="BR58" s="8">
        <v>1174</v>
      </c>
      <c r="BS58" s="8">
        <v>360</v>
      </c>
      <c r="BT58" s="8">
        <v>557</v>
      </c>
      <c r="BU58" s="8">
        <v>1293</v>
      </c>
      <c r="BV58" s="8">
        <v>158</v>
      </c>
      <c r="BW58" s="8">
        <v>155</v>
      </c>
      <c r="BX58" s="8">
        <v>468</v>
      </c>
      <c r="BY58" s="8">
        <v>150</v>
      </c>
      <c r="BZ58" s="8">
        <v>282</v>
      </c>
      <c r="CA58" s="8">
        <v>117</v>
      </c>
      <c r="CB58" s="8">
        <v>347</v>
      </c>
      <c r="CC58" s="8">
        <v>1781</v>
      </c>
      <c r="CD58" s="8">
        <v>157</v>
      </c>
      <c r="CE58" s="8">
        <v>358</v>
      </c>
      <c r="CF58" s="8">
        <v>623</v>
      </c>
      <c r="CG58" s="8">
        <v>179</v>
      </c>
      <c r="CH58" s="8">
        <v>397</v>
      </c>
      <c r="CJ58" s="9"/>
      <c r="CK58" s="9"/>
      <c r="CL58" s="9"/>
      <c r="CM58" s="9"/>
      <c r="CN58" s="9"/>
      <c r="CO58" s="9"/>
      <c r="CP58" s="9"/>
      <c r="CQ58" s="9"/>
      <c r="CR58" s="9"/>
      <c r="CS58" s="9"/>
      <c r="CT58" s="9"/>
      <c r="CU58" s="9"/>
      <c r="CV58" s="9"/>
      <c r="CW58" s="9"/>
      <c r="CX58" s="9"/>
      <c r="CY58" s="9"/>
      <c r="CZ58" s="9"/>
      <c r="DA58" s="9"/>
      <c r="DB58" s="9"/>
      <c r="DC58" s="9"/>
      <c r="DD58" s="9"/>
      <c r="DE58" s="9"/>
      <c r="DF58" s="9"/>
      <c r="DG58" s="9"/>
      <c r="DH58" s="9"/>
      <c r="DI58" s="9"/>
      <c r="DJ58" s="9"/>
      <c r="DK58" s="9"/>
      <c r="DL58" s="9"/>
      <c r="DM58" s="9"/>
      <c r="DN58" s="9"/>
      <c r="DO58" s="9"/>
      <c r="DP58" s="9"/>
      <c r="DQ58" s="9"/>
      <c r="DR58" s="9"/>
      <c r="DS58" s="9"/>
      <c r="DT58" s="9"/>
      <c r="DU58" s="9"/>
      <c r="DV58" s="9"/>
      <c r="DW58" s="9"/>
      <c r="DX58" s="9"/>
      <c r="DY58" s="9"/>
      <c r="DZ58" s="9"/>
      <c r="EA58" s="9"/>
      <c r="EB58" s="9"/>
      <c r="EC58" s="9"/>
      <c r="ED58" s="9"/>
      <c r="EE58" s="9"/>
      <c r="EF58" s="9"/>
      <c r="EG58" s="9"/>
      <c r="EH58" s="9"/>
      <c r="EI58" s="9"/>
      <c r="EJ58" s="9"/>
      <c r="EK58" s="9"/>
      <c r="EL58" s="9"/>
      <c r="EM58" s="9"/>
      <c r="EN58" s="9"/>
      <c r="EO58" s="9"/>
      <c r="EP58" s="9"/>
      <c r="EQ58" s="9"/>
      <c r="ER58" s="9"/>
      <c r="ES58" s="9"/>
      <c r="ET58" s="9"/>
      <c r="EU58" s="9"/>
      <c r="EV58" s="9"/>
      <c r="EW58" s="9"/>
      <c r="EX58" s="9"/>
      <c r="EY58" s="9"/>
      <c r="EZ58" s="9"/>
      <c r="FA58" s="9"/>
      <c r="FB58" s="9"/>
      <c r="FC58" s="9"/>
      <c r="FD58" s="9"/>
      <c r="FE58" s="9"/>
      <c r="FF58" s="9"/>
      <c r="FG58" s="9"/>
      <c r="FH58" s="9"/>
      <c r="FI58" s="9"/>
    </row>
    <row r="59" spans="1:165" x14ac:dyDescent="0.2">
      <c r="A59" s="1" t="s">
        <v>455</v>
      </c>
      <c r="B59" s="1" t="s">
        <v>456</v>
      </c>
      <c r="C59" s="1" t="s">
        <v>457</v>
      </c>
      <c r="D59" s="1" t="str">
        <f>HYPERLINK("http://eros.fiehnlab.ucdavis.edu:8080/binbase-compound/bin/show/215860?db=rtx5","215860")</f>
        <v>215860</v>
      </c>
      <c r="E59" s="1" t="s">
        <v>458</v>
      </c>
      <c r="F59" s="1" t="str">
        <f>HYPERLINK("http://www.genome.ad.jp/dbget-bin/www_bget?compound+C00159","C00159")</f>
        <v>C00159</v>
      </c>
      <c r="G59" s="1" t="str">
        <f>HYPERLINK("http://pubchem.ncbi.nlm.nih.gov/summary/summary.cgi?cid=18950","18950")</f>
        <v>18950</v>
      </c>
      <c r="H59" s="1"/>
      <c r="I59" s="8">
        <v>2167</v>
      </c>
      <c r="J59" s="8">
        <v>1000</v>
      </c>
      <c r="K59" s="8">
        <v>2266</v>
      </c>
      <c r="L59" s="8">
        <v>1189</v>
      </c>
      <c r="M59" s="8">
        <v>19987</v>
      </c>
      <c r="N59" s="8">
        <v>17752</v>
      </c>
      <c r="O59" s="8">
        <v>1267</v>
      </c>
      <c r="P59" s="8">
        <v>1618</v>
      </c>
      <c r="Q59" s="8">
        <v>268</v>
      </c>
      <c r="R59" s="8">
        <v>10607</v>
      </c>
      <c r="S59" s="8">
        <v>10504</v>
      </c>
      <c r="T59" s="8">
        <v>388</v>
      </c>
      <c r="U59" s="8">
        <v>847</v>
      </c>
      <c r="V59" s="8">
        <v>776</v>
      </c>
      <c r="W59" s="8">
        <v>823</v>
      </c>
      <c r="X59" s="8">
        <v>1141</v>
      </c>
      <c r="Y59" s="8">
        <v>10519</v>
      </c>
      <c r="Z59" s="8">
        <v>6179</v>
      </c>
      <c r="AA59" s="8">
        <v>905</v>
      </c>
      <c r="AB59" s="8">
        <v>309</v>
      </c>
      <c r="AC59" s="8">
        <v>382</v>
      </c>
      <c r="AD59" s="8">
        <v>106</v>
      </c>
      <c r="AE59" s="8">
        <v>406</v>
      </c>
      <c r="AF59" s="8">
        <v>33225</v>
      </c>
      <c r="AG59" s="8">
        <v>624</v>
      </c>
      <c r="AH59" s="8">
        <v>99</v>
      </c>
      <c r="AI59" s="8">
        <v>78</v>
      </c>
      <c r="AJ59" s="8">
        <v>425</v>
      </c>
      <c r="AK59" s="8">
        <v>120</v>
      </c>
      <c r="AL59" s="8">
        <v>8061</v>
      </c>
      <c r="AM59" s="8">
        <v>500</v>
      </c>
      <c r="AN59" s="8">
        <v>692</v>
      </c>
      <c r="AO59" s="8">
        <v>180</v>
      </c>
      <c r="AP59" s="8">
        <v>692</v>
      </c>
      <c r="AQ59" s="8">
        <v>14185</v>
      </c>
      <c r="AR59" s="8">
        <v>23165</v>
      </c>
      <c r="AS59" s="8">
        <v>562</v>
      </c>
      <c r="AT59" s="8">
        <v>185</v>
      </c>
      <c r="AU59" s="8">
        <v>441</v>
      </c>
      <c r="AV59" s="8">
        <v>146</v>
      </c>
      <c r="AW59" s="8">
        <v>546</v>
      </c>
      <c r="AX59" s="8">
        <v>2123</v>
      </c>
      <c r="AY59" s="8">
        <v>160</v>
      </c>
      <c r="AZ59" s="8">
        <v>630</v>
      </c>
      <c r="BA59" s="8">
        <v>3153</v>
      </c>
      <c r="BB59" s="8">
        <v>431</v>
      </c>
      <c r="BC59" s="8">
        <v>1449</v>
      </c>
      <c r="BD59" s="8">
        <v>337</v>
      </c>
      <c r="BE59" s="8">
        <v>786</v>
      </c>
      <c r="BF59" s="8">
        <v>651</v>
      </c>
      <c r="BG59" s="8">
        <v>545</v>
      </c>
      <c r="BH59" s="8">
        <v>368</v>
      </c>
      <c r="BI59" s="8">
        <v>899</v>
      </c>
      <c r="BJ59" s="8">
        <v>722</v>
      </c>
      <c r="BK59" s="8">
        <v>6006</v>
      </c>
      <c r="BL59" s="8">
        <v>3501</v>
      </c>
      <c r="BM59" s="8">
        <v>3680</v>
      </c>
      <c r="BN59" s="8">
        <v>16468</v>
      </c>
      <c r="BO59" s="8">
        <v>4602</v>
      </c>
      <c r="BP59" s="8">
        <v>3067</v>
      </c>
      <c r="BQ59" s="8">
        <v>5249</v>
      </c>
      <c r="BR59" s="8">
        <v>4961</v>
      </c>
      <c r="BS59" s="8">
        <v>2212</v>
      </c>
      <c r="BT59" s="8">
        <v>3721</v>
      </c>
      <c r="BU59" s="8">
        <v>5895</v>
      </c>
      <c r="BV59" s="8">
        <v>3444</v>
      </c>
      <c r="BW59" s="8">
        <v>2399</v>
      </c>
      <c r="BX59" s="8">
        <v>2119</v>
      </c>
      <c r="BY59" s="8">
        <v>2139</v>
      </c>
      <c r="BZ59" s="8">
        <v>2129</v>
      </c>
      <c r="CA59" s="8">
        <v>773</v>
      </c>
      <c r="CB59" s="8">
        <v>19195</v>
      </c>
      <c r="CC59" s="8">
        <v>9070</v>
      </c>
      <c r="CD59" s="8">
        <v>2785</v>
      </c>
      <c r="CE59" s="8">
        <v>4120</v>
      </c>
      <c r="CF59" s="8">
        <v>4449</v>
      </c>
      <c r="CG59" s="8">
        <v>3077</v>
      </c>
      <c r="CH59" s="8">
        <v>2863</v>
      </c>
      <c r="CJ59" s="9"/>
      <c r="CK59" s="9"/>
      <c r="CL59" s="9"/>
      <c r="CM59" s="9"/>
      <c r="CN59" s="9"/>
      <c r="CO59" s="9"/>
      <c r="CP59" s="9"/>
      <c r="CQ59" s="9"/>
      <c r="CR59" s="9"/>
      <c r="CS59" s="9"/>
      <c r="CT59" s="9"/>
      <c r="CU59" s="9"/>
      <c r="CV59" s="9"/>
      <c r="CW59" s="9"/>
      <c r="CX59" s="9"/>
      <c r="CY59" s="9"/>
      <c r="CZ59" s="9"/>
      <c r="DA59" s="9"/>
      <c r="DB59" s="9"/>
      <c r="DC59" s="9"/>
      <c r="DD59" s="9"/>
      <c r="DE59" s="9"/>
      <c r="DF59" s="9"/>
      <c r="DG59" s="9"/>
      <c r="DH59" s="9"/>
      <c r="DI59" s="9"/>
      <c r="DJ59" s="9"/>
      <c r="DK59" s="9"/>
      <c r="DL59" s="9"/>
      <c r="DM59" s="9"/>
      <c r="DN59" s="9"/>
      <c r="DO59" s="9"/>
      <c r="DP59" s="9"/>
      <c r="DQ59" s="9"/>
      <c r="DR59" s="9"/>
      <c r="DS59" s="9"/>
      <c r="DT59" s="9"/>
      <c r="DU59" s="9"/>
      <c r="DV59" s="9"/>
      <c r="DW59" s="9"/>
      <c r="DX59" s="9"/>
      <c r="DY59" s="9"/>
      <c r="DZ59" s="9"/>
      <c r="EA59" s="9"/>
      <c r="EB59" s="9"/>
      <c r="EC59" s="9"/>
      <c r="ED59" s="9"/>
      <c r="EE59" s="9"/>
      <c r="EF59" s="9"/>
      <c r="EG59" s="9"/>
      <c r="EH59" s="9"/>
      <c r="EI59" s="9"/>
      <c r="EJ59" s="9"/>
      <c r="EK59" s="9"/>
      <c r="EL59" s="9"/>
      <c r="EM59" s="9"/>
      <c r="EN59" s="9"/>
      <c r="EO59" s="9"/>
      <c r="EP59" s="9"/>
      <c r="EQ59" s="9"/>
      <c r="ER59" s="9"/>
      <c r="ES59" s="9"/>
      <c r="ET59" s="9"/>
      <c r="EU59" s="9"/>
      <c r="EV59" s="9"/>
      <c r="EW59" s="9"/>
      <c r="EX59" s="9"/>
      <c r="EY59" s="9"/>
      <c r="EZ59" s="9"/>
      <c r="FA59" s="9"/>
      <c r="FB59" s="9"/>
      <c r="FC59" s="9"/>
      <c r="FD59" s="9"/>
      <c r="FE59" s="9"/>
      <c r="FF59" s="9"/>
      <c r="FG59" s="9"/>
      <c r="FH59" s="9"/>
      <c r="FI59" s="9"/>
    </row>
    <row r="60" spans="1:165" x14ac:dyDescent="0.2">
      <c r="A60" s="1" t="s">
        <v>459</v>
      </c>
      <c r="B60" s="1" t="s">
        <v>460</v>
      </c>
      <c r="C60" s="1" t="s">
        <v>334</v>
      </c>
      <c r="D60" s="1" t="str">
        <f>HYPERLINK("http://eros.fiehnlab.ucdavis.edu:8080/binbase-compound/bin/show/210512?db=rtx5","210512")</f>
        <v>210512</v>
      </c>
      <c r="E60" s="1" t="s">
        <v>461</v>
      </c>
      <c r="F60" s="1" t="str">
        <f>HYPERLINK("http://www.genome.ad.jp/dbget-bin/www_bget?compound+C00392","C00392")</f>
        <v>C00392</v>
      </c>
      <c r="G60" s="1" t="str">
        <f>HYPERLINK("http://pubchem.ncbi.nlm.nih.gov/summary/summary.cgi?cid=6251","6251")</f>
        <v>6251</v>
      </c>
      <c r="H60" s="1"/>
      <c r="I60" s="8">
        <v>2671</v>
      </c>
      <c r="J60" s="8">
        <v>2315</v>
      </c>
      <c r="K60" s="8">
        <v>3302</v>
      </c>
      <c r="L60" s="8">
        <v>2353</v>
      </c>
      <c r="M60" s="8">
        <v>2481</v>
      </c>
      <c r="N60" s="8">
        <v>2928</v>
      </c>
      <c r="O60" s="8">
        <v>526</v>
      </c>
      <c r="P60" s="8">
        <v>794</v>
      </c>
      <c r="Q60" s="8">
        <v>468</v>
      </c>
      <c r="R60" s="8">
        <v>1083</v>
      </c>
      <c r="S60" s="8">
        <v>650</v>
      </c>
      <c r="T60" s="8">
        <v>661</v>
      </c>
      <c r="U60" s="8">
        <v>709</v>
      </c>
      <c r="V60" s="8">
        <v>474</v>
      </c>
      <c r="W60" s="8">
        <v>561</v>
      </c>
      <c r="X60" s="8">
        <v>691</v>
      </c>
      <c r="Y60" s="8">
        <v>471</v>
      </c>
      <c r="Z60" s="8">
        <v>527</v>
      </c>
      <c r="AA60" s="8">
        <v>2233</v>
      </c>
      <c r="AB60" s="8">
        <v>814</v>
      </c>
      <c r="AC60" s="8">
        <v>607</v>
      </c>
      <c r="AD60" s="8">
        <v>550</v>
      </c>
      <c r="AE60" s="8">
        <v>994</v>
      </c>
      <c r="AF60" s="8">
        <v>658</v>
      </c>
      <c r="AG60" s="8">
        <v>660</v>
      </c>
      <c r="AH60" s="8">
        <v>487</v>
      </c>
      <c r="AI60" s="8">
        <v>547</v>
      </c>
      <c r="AJ60" s="8">
        <v>827</v>
      </c>
      <c r="AK60" s="8">
        <v>340</v>
      </c>
      <c r="AL60" s="8">
        <v>723</v>
      </c>
      <c r="AM60" s="8">
        <v>884</v>
      </c>
      <c r="AN60" s="8">
        <v>802</v>
      </c>
      <c r="AO60" s="8">
        <v>629</v>
      </c>
      <c r="AP60" s="8">
        <v>974</v>
      </c>
      <c r="AQ60" s="8">
        <v>501</v>
      </c>
      <c r="AR60" s="8">
        <v>735</v>
      </c>
      <c r="AS60" s="8">
        <v>968</v>
      </c>
      <c r="AT60" s="8">
        <v>541</v>
      </c>
      <c r="AU60" s="8">
        <v>498</v>
      </c>
      <c r="AV60" s="8">
        <v>526</v>
      </c>
      <c r="AW60" s="8">
        <v>622</v>
      </c>
      <c r="AX60" s="8">
        <v>470</v>
      </c>
      <c r="AY60" s="8">
        <v>545</v>
      </c>
      <c r="AZ60" s="8">
        <v>721</v>
      </c>
      <c r="BA60" s="8">
        <v>643</v>
      </c>
      <c r="BB60" s="8">
        <v>750</v>
      </c>
      <c r="BC60" s="8">
        <v>599</v>
      </c>
      <c r="BD60" s="8">
        <v>603</v>
      </c>
      <c r="BE60" s="8">
        <v>824</v>
      </c>
      <c r="BF60" s="8">
        <v>475</v>
      </c>
      <c r="BG60" s="8">
        <v>542</v>
      </c>
      <c r="BH60" s="8">
        <v>792</v>
      </c>
      <c r="BI60" s="8">
        <v>617</v>
      </c>
      <c r="BJ60" s="8">
        <v>624</v>
      </c>
      <c r="BK60" s="8">
        <v>181</v>
      </c>
      <c r="BL60" s="8">
        <v>1805</v>
      </c>
      <c r="BM60" s="8">
        <v>1481</v>
      </c>
      <c r="BN60" s="8">
        <v>453</v>
      </c>
      <c r="BO60" s="8">
        <v>195</v>
      </c>
      <c r="BP60" s="8">
        <v>759</v>
      </c>
      <c r="BQ60" s="8">
        <v>3480</v>
      </c>
      <c r="BR60" s="8">
        <v>185</v>
      </c>
      <c r="BS60" s="8">
        <v>90</v>
      </c>
      <c r="BT60" s="8">
        <v>809</v>
      </c>
      <c r="BU60" s="8">
        <v>42</v>
      </c>
      <c r="BV60" s="8">
        <v>2500</v>
      </c>
      <c r="BW60" s="8">
        <v>1128</v>
      </c>
      <c r="BX60" s="8">
        <v>252</v>
      </c>
      <c r="BY60" s="8">
        <v>1123</v>
      </c>
      <c r="BZ60" s="8">
        <v>614</v>
      </c>
      <c r="CA60" s="8">
        <v>39</v>
      </c>
      <c r="CB60" s="8">
        <v>186</v>
      </c>
      <c r="CC60" s="8">
        <v>164</v>
      </c>
      <c r="CD60" s="8">
        <v>867</v>
      </c>
      <c r="CE60" s="8">
        <v>109</v>
      </c>
      <c r="CF60" s="8">
        <v>548</v>
      </c>
      <c r="CG60" s="8">
        <v>669</v>
      </c>
      <c r="CH60" s="8">
        <v>8</v>
      </c>
      <c r="CJ60" s="9"/>
      <c r="CK60" s="9"/>
      <c r="CL60" s="9"/>
      <c r="CM60" s="9"/>
      <c r="CN60" s="9"/>
      <c r="CO60" s="9"/>
      <c r="CP60" s="9"/>
      <c r="CQ60" s="9"/>
      <c r="CR60" s="9"/>
      <c r="CS60" s="9"/>
      <c r="CT60" s="9"/>
      <c r="CU60" s="9"/>
      <c r="CV60" s="9"/>
      <c r="CW60" s="9"/>
      <c r="CX60" s="9"/>
      <c r="CY60" s="9"/>
      <c r="CZ60" s="9"/>
      <c r="DA60" s="9"/>
      <c r="DB60" s="9"/>
      <c r="DC60" s="9"/>
      <c r="DD60" s="9"/>
      <c r="DE60" s="9"/>
      <c r="DF60" s="9"/>
      <c r="DG60" s="9"/>
      <c r="DH60" s="9"/>
      <c r="DI60" s="9"/>
      <c r="DJ60" s="9"/>
      <c r="DK60" s="9"/>
      <c r="DL60" s="9"/>
      <c r="DM60" s="9"/>
      <c r="DN60" s="9"/>
      <c r="DO60" s="9"/>
      <c r="DP60" s="9"/>
      <c r="DQ60" s="9"/>
      <c r="DR60" s="9"/>
      <c r="DS60" s="9"/>
      <c r="DT60" s="9"/>
      <c r="DU60" s="9"/>
      <c r="DV60" s="9"/>
      <c r="DW60" s="9"/>
      <c r="DX60" s="9"/>
      <c r="DY60" s="9"/>
      <c r="DZ60" s="9"/>
      <c r="EA60" s="9"/>
      <c r="EB60" s="9"/>
      <c r="EC60" s="9"/>
      <c r="ED60" s="9"/>
      <c r="EE60" s="9"/>
      <c r="EF60" s="9"/>
      <c r="EG60" s="9"/>
      <c r="EH60" s="9"/>
      <c r="EI60" s="9"/>
      <c r="EJ60" s="9"/>
      <c r="EK60" s="9"/>
      <c r="EL60" s="9"/>
      <c r="EM60" s="9"/>
      <c r="EN60" s="9"/>
      <c r="EO60" s="9"/>
      <c r="EP60" s="9"/>
      <c r="EQ60" s="9"/>
      <c r="ER60" s="9"/>
      <c r="ES60" s="9"/>
      <c r="ET60" s="9"/>
      <c r="EU60" s="9"/>
      <c r="EV60" s="9"/>
      <c r="EW60" s="9"/>
      <c r="EX60" s="9"/>
      <c r="EY60" s="9"/>
      <c r="EZ60" s="9"/>
      <c r="FA60" s="9"/>
      <c r="FB60" s="9"/>
      <c r="FC60" s="9"/>
      <c r="FD60" s="9"/>
      <c r="FE60" s="9"/>
      <c r="FF60" s="9"/>
      <c r="FG60" s="9"/>
      <c r="FH60" s="9"/>
      <c r="FI60" s="9"/>
    </row>
    <row r="61" spans="1:165" x14ac:dyDescent="0.2">
      <c r="A61" s="1" t="s">
        <v>463</v>
      </c>
      <c r="B61" s="1" t="s">
        <v>464</v>
      </c>
      <c r="C61" s="1" t="s">
        <v>465</v>
      </c>
      <c r="D61" s="1" t="str">
        <f>HYPERLINK("http://eros.fiehnlab.ucdavis.edu:8080/binbase-compound/bin/show/247180?db=rtx5","247180")</f>
        <v>247180</v>
      </c>
      <c r="E61" s="1" t="s">
        <v>466</v>
      </c>
      <c r="F61" s="1" t="str">
        <f>HYPERLINK("http://www.genome.ad.jp/dbget-bin/www_bget?compound+C00149","C00149")</f>
        <v>C00149</v>
      </c>
      <c r="G61" s="1" t="str">
        <f>HYPERLINK("http://pubchem.ncbi.nlm.nih.gov/summary/summary.cgi?cid=222656","222656")</f>
        <v>222656</v>
      </c>
      <c r="H61" s="1"/>
      <c r="I61" s="8">
        <v>750</v>
      </c>
      <c r="J61" s="8">
        <v>600</v>
      </c>
      <c r="K61" s="8">
        <v>735</v>
      </c>
      <c r="L61" s="8">
        <v>513</v>
      </c>
      <c r="M61" s="8">
        <v>696</v>
      </c>
      <c r="N61" s="8">
        <v>799</v>
      </c>
      <c r="O61" s="8">
        <v>1892</v>
      </c>
      <c r="P61" s="8">
        <v>2233</v>
      </c>
      <c r="Q61" s="8">
        <v>2503</v>
      </c>
      <c r="R61" s="8">
        <v>2704</v>
      </c>
      <c r="S61" s="8">
        <v>2523</v>
      </c>
      <c r="T61" s="8">
        <v>3145</v>
      </c>
      <c r="U61" s="8">
        <v>3418</v>
      </c>
      <c r="V61" s="8">
        <v>3559</v>
      </c>
      <c r="W61" s="8">
        <v>5432</v>
      </c>
      <c r="X61" s="8">
        <v>4307</v>
      </c>
      <c r="Y61" s="8">
        <v>3739</v>
      </c>
      <c r="Z61" s="8">
        <v>3940</v>
      </c>
      <c r="AA61" s="8">
        <v>1403</v>
      </c>
      <c r="AB61" s="8">
        <v>1888</v>
      </c>
      <c r="AC61" s="8">
        <v>1803</v>
      </c>
      <c r="AD61" s="8">
        <v>1755</v>
      </c>
      <c r="AE61" s="8">
        <v>2188</v>
      </c>
      <c r="AF61" s="8">
        <v>1753</v>
      </c>
      <c r="AG61" s="8">
        <v>4272</v>
      </c>
      <c r="AH61" s="8">
        <v>5223</v>
      </c>
      <c r="AI61" s="8">
        <v>5098</v>
      </c>
      <c r="AJ61" s="8">
        <v>6109</v>
      </c>
      <c r="AK61" s="8">
        <v>4131</v>
      </c>
      <c r="AL61" s="8">
        <v>2437</v>
      </c>
      <c r="AM61" s="8">
        <v>1722</v>
      </c>
      <c r="AN61" s="8">
        <v>1208</v>
      </c>
      <c r="AO61" s="8">
        <v>1202</v>
      </c>
      <c r="AP61" s="8">
        <v>1359</v>
      </c>
      <c r="AQ61" s="8">
        <v>1144</v>
      </c>
      <c r="AR61" s="8">
        <v>1269</v>
      </c>
      <c r="AS61" s="8">
        <v>3697</v>
      </c>
      <c r="AT61" s="8">
        <v>3153</v>
      </c>
      <c r="AU61" s="8">
        <v>2988</v>
      </c>
      <c r="AV61" s="8">
        <v>3185</v>
      </c>
      <c r="AW61" s="8">
        <v>3809</v>
      </c>
      <c r="AX61" s="8">
        <v>3210</v>
      </c>
      <c r="AY61" s="8">
        <v>1401</v>
      </c>
      <c r="AZ61" s="8">
        <v>1850</v>
      </c>
      <c r="BA61" s="8">
        <v>1596</v>
      </c>
      <c r="BB61" s="8">
        <v>1557</v>
      </c>
      <c r="BC61" s="8">
        <v>1573</v>
      </c>
      <c r="BD61" s="8">
        <v>2025</v>
      </c>
      <c r="BE61" s="8">
        <v>5754</v>
      </c>
      <c r="BF61" s="8">
        <v>5877</v>
      </c>
      <c r="BG61" s="8">
        <v>4905</v>
      </c>
      <c r="BH61" s="8">
        <v>4425</v>
      </c>
      <c r="BI61" s="8">
        <v>6207</v>
      </c>
      <c r="BJ61" s="8">
        <v>5606</v>
      </c>
      <c r="BK61" s="8">
        <v>1560</v>
      </c>
      <c r="BL61" s="8">
        <v>1152</v>
      </c>
      <c r="BM61" s="8">
        <v>1618</v>
      </c>
      <c r="BN61" s="8">
        <v>1281</v>
      </c>
      <c r="BO61" s="8">
        <v>1589</v>
      </c>
      <c r="BP61" s="8">
        <v>1607</v>
      </c>
      <c r="BQ61" s="8">
        <v>3414</v>
      </c>
      <c r="BR61" s="8">
        <v>2821</v>
      </c>
      <c r="BS61" s="8">
        <v>3259</v>
      </c>
      <c r="BT61" s="8">
        <v>3432</v>
      </c>
      <c r="BU61" s="8">
        <v>3218</v>
      </c>
      <c r="BV61" s="8">
        <v>3174</v>
      </c>
      <c r="BW61" s="8">
        <v>1657</v>
      </c>
      <c r="BX61" s="8">
        <v>1644</v>
      </c>
      <c r="BY61" s="8">
        <v>1911</v>
      </c>
      <c r="BZ61" s="8">
        <v>1786</v>
      </c>
      <c r="CA61" s="8">
        <v>1756</v>
      </c>
      <c r="CB61" s="8">
        <v>1423</v>
      </c>
      <c r="CC61" s="8">
        <v>3808</v>
      </c>
      <c r="CD61" s="8">
        <v>3942</v>
      </c>
      <c r="CE61" s="8">
        <v>4397</v>
      </c>
      <c r="CF61" s="8">
        <v>3713</v>
      </c>
      <c r="CG61" s="8">
        <v>3989</v>
      </c>
      <c r="CH61" s="8">
        <v>4423</v>
      </c>
      <c r="CJ61" s="9"/>
      <c r="CK61" s="9"/>
      <c r="CL61" s="9"/>
      <c r="CM61" s="9"/>
      <c r="CN61" s="9"/>
      <c r="CO61" s="9"/>
      <c r="CP61" s="9"/>
      <c r="CQ61" s="9"/>
      <c r="CR61" s="9"/>
      <c r="CS61" s="9"/>
      <c r="CT61" s="9"/>
      <c r="CU61" s="9"/>
      <c r="CV61" s="9"/>
      <c r="CW61" s="9"/>
      <c r="CX61" s="9"/>
      <c r="CY61" s="9"/>
      <c r="CZ61" s="9"/>
      <c r="DA61" s="9"/>
      <c r="DB61" s="9"/>
      <c r="DC61" s="9"/>
      <c r="DD61" s="9"/>
      <c r="DE61" s="9"/>
      <c r="DF61" s="9"/>
      <c r="DG61" s="9"/>
      <c r="DH61" s="9"/>
      <c r="DI61" s="9"/>
      <c r="DJ61" s="9"/>
      <c r="DK61" s="9"/>
      <c r="DL61" s="9"/>
      <c r="DM61" s="9"/>
      <c r="DN61" s="9"/>
      <c r="DO61" s="9"/>
      <c r="DP61" s="9"/>
      <c r="DQ61" s="9"/>
      <c r="DR61" s="9"/>
      <c r="DS61" s="9"/>
      <c r="DT61" s="9"/>
      <c r="DU61" s="9"/>
      <c r="DV61" s="9"/>
      <c r="DW61" s="9"/>
      <c r="DX61" s="9"/>
      <c r="DY61" s="9"/>
      <c r="DZ61" s="9"/>
      <c r="EA61" s="9"/>
      <c r="EB61" s="9"/>
      <c r="EC61" s="9"/>
      <c r="ED61" s="9"/>
      <c r="EE61" s="9"/>
      <c r="EF61" s="9"/>
      <c r="EG61" s="9"/>
      <c r="EH61" s="9"/>
      <c r="EI61" s="9"/>
      <c r="EJ61" s="9"/>
      <c r="EK61" s="9"/>
      <c r="EL61" s="9"/>
      <c r="EM61" s="9"/>
      <c r="EN61" s="9"/>
      <c r="EO61" s="9"/>
      <c r="EP61" s="9"/>
      <c r="EQ61" s="9"/>
      <c r="ER61" s="9"/>
      <c r="ES61" s="9"/>
      <c r="ET61" s="9"/>
      <c r="EU61" s="9"/>
      <c r="EV61" s="9"/>
      <c r="EW61" s="9"/>
      <c r="EX61" s="9"/>
      <c r="EY61" s="9"/>
      <c r="EZ61" s="9"/>
      <c r="FA61" s="9"/>
      <c r="FB61" s="9"/>
      <c r="FC61" s="9"/>
      <c r="FD61" s="9"/>
      <c r="FE61" s="9"/>
      <c r="FF61" s="9"/>
      <c r="FG61" s="9"/>
      <c r="FH61" s="9"/>
      <c r="FI61" s="9"/>
    </row>
    <row r="62" spans="1:165" x14ac:dyDescent="0.2">
      <c r="A62" s="1" t="s">
        <v>467</v>
      </c>
      <c r="B62" s="1" t="s">
        <v>468</v>
      </c>
      <c r="C62" s="1" t="s">
        <v>412</v>
      </c>
      <c r="D62" s="1" t="str">
        <f>HYPERLINK("http://eros.fiehnlab.ucdavis.edu:8080/binbase-compound/bin/show/237589?db=rtx5","237589")</f>
        <v>237589</v>
      </c>
      <c r="E62" s="1" t="s">
        <v>469</v>
      </c>
      <c r="F62" s="1" t="str">
        <f>HYPERLINK("http://www.genome.ad.jp/dbget-bin/www_bget?compound+C00047","C00047")</f>
        <v>C00047</v>
      </c>
      <c r="G62" s="1" t="str">
        <f>HYPERLINK("http://pubchem.ncbi.nlm.nih.gov/summary/summary.cgi?cid=5962","5962")</f>
        <v>5962</v>
      </c>
      <c r="H62" s="1"/>
      <c r="I62" s="8">
        <v>4978</v>
      </c>
      <c r="J62" s="8">
        <v>4700</v>
      </c>
      <c r="K62" s="8">
        <v>2456</v>
      </c>
      <c r="L62" s="8">
        <v>3582</v>
      </c>
      <c r="M62" s="8">
        <v>2902</v>
      </c>
      <c r="N62" s="8">
        <v>4228</v>
      </c>
      <c r="O62" s="8">
        <v>2472</v>
      </c>
      <c r="P62" s="8">
        <v>2164</v>
      </c>
      <c r="Q62" s="8">
        <v>1728</v>
      </c>
      <c r="R62" s="8">
        <v>940</v>
      </c>
      <c r="S62" s="8">
        <v>1836</v>
      </c>
      <c r="T62" s="8">
        <v>3100</v>
      </c>
      <c r="U62" s="8">
        <v>2011</v>
      </c>
      <c r="V62" s="8">
        <v>3063</v>
      </c>
      <c r="W62" s="8">
        <v>3426</v>
      </c>
      <c r="X62" s="8">
        <v>2314</v>
      </c>
      <c r="Y62" s="8">
        <v>2978</v>
      </c>
      <c r="Z62" s="8">
        <v>2362</v>
      </c>
      <c r="AA62" s="8">
        <v>4851</v>
      </c>
      <c r="AB62" s="8">
        <v>2495</v>
      </c>
      <c r="AC62" s="8">
        <v>2319</v>
      </c>
      <c r="AD62" s="8">
        <v>2189</v>
      </c>
      <c r="AE62" s="8">
        <v>2873</v>
      </c>
      <c r="AF62" s="8">
        <v>4929</v>
      </c>
      <c r="AG62" s="8">
        <v>2248</v>
      </c>
      <c r="AH62" s="8">
        <v>3157</v>
      </c>
      <c r="AI62" s="8">
        <v>1139</v>
      </c>
      <c r="AJ62" s="8">
        <v>1713</v>
      </c>
      <c r="AK62" s="8">
        <v>1697</v>
      </c>
      <c r="AL62" s="8">
        <v>957</v>
      </c>
      <c r="AM62" s="8">
        <v>2834</v>
      </c>
      <c r="AN62" s="8">
        <v>3520</v>
      </c>
      <c r="AO62" s="8">
        <v>1762</v>
      </c>
      <c r="AP62" s="8">
        <v>4896</v>
      </c>
      <c r="AQ62" s="8">
        <v>2897</v>
      </c>
      <c r="AR62" s="8">
        <v>4782</v>
      </c>
      <c r="AS62" s="8">
        <v>1701</v>
      </c>
      <c r="AT62" s="8">
        <v>1334</v>
      </c>
      <c r="AU62" s="8">
        <v>2148</v>
      </c>
      <c r="AV62" s="8">
        <v>2763</v>
      </c>
      <c r="AW62" s="8">
        <v>1148</v>
      </c>
      <c r="AX62" s="8">
        <v>2854</v>
      </c>
      <c r="AY62" s="8">
        <v>1903</v>
      </c>
      <c r="AZ62" s="8">
        <v>4522</v>
      </c>
      <c r="BA62" s="8">
        <v>2050</v>
      </c>
      <c r="BB62" s="8">
        <v>2684</v>
      </c>
      <c r="BC62" s="8">
        <v>2791</v>
      </c>
      <c r="BD62" s="8">
        <v>2167</v>
      </c>
      <c r="BE62" s="8">
        <v>2032</v>
      </c>
      <c r="BF62" s="8">
        <v>2858</v>
      </c>
      <c r="BG62" s="8">
        <v>1513</v>
      </c>
      <c r="BH62" s="8">
        <v>3603</v>
      </c>
      <c r="BI62" s="8">
        <v>1668</v>
      </c>
      <c r="BJ62" s="8">
        <v>1083</v>
      </c>
      <c r="BK62" s="8">
        <v>4181</v>
      </c>
      <c r="BL62" s="8">
        <v>2007</v>
      </c>
      <c r="BM62" s="8">
        <v>1864</v>
      </c>
      <c r="BN62" s="8">
        <v>5046</v>
      </c>
      <c r="BO62" s="8">
        <v>1505</v>
      </c>
      <c r="BP62" s="8">
        <v>993</v>
      </c>
      <c r="BQ62" s="8">
        <v>1811</v>
      </c>
      <c r="BR62" s="8">
        <v>3526</v>
      </c>
      <c r="BS62" s="8">
        <v>3155</v>
      </c>
      <c r="BT62" s="8">
        <v>1761</v>
      </c>
      <c r="BU62" s="8">
        <v>2339</v>
      </c>
      <c r="BV62" s="8">
        <v>1692</v>
      </c>
      <c r="BW62" s="8">
        <v>2220</v>
      </c>
      <c r="BX62" s="8">
        <v>1916</v>
      </c>
      <c r="BY62" s="8">
        <v>2396</v>
      </c>
      <c r="BZ62" s="8">
        <v>2838</v>
      </c>
      <c r="CA62" s="8">
        <v>2411</v>
      </c>
      <c r="CB62" s="8">
        <v>4867</v>
      </c>
      <c r="CC62" s="8">
        <v>3861</v>
      </c>
      <c r="CD62" s="8">
        <v>5085</v>
      </c>
      <c r="CE62" s="8">
        <v>3346</v>
      </c>
      <c r="CF62" s="8">
        <v>2253</v>
      </c>
      <c r="CG62" s="8">
        <v>3256</v>
      </c>
      <c r="CH62" s="8">
        <v>1676</v>
      </c>
      <c r="CJ62" s="9"/>
      <c r="CK62" s="9"/>
      <c r="CL62" s="9"/>
      <c r="CM62" s="9"/>
      <c r="CN62" s="9"/>
      <c r="CO62" s="9"/>
      <c r="CP62" s="9"/>
      <c r="CQ62" s="9"/>
      <c r="CR62" s="9"/>
      <c r="CS62" s="9"/>
      <c r="CT62" s="9"/>
      <c r="CU62" s="9"/>
      <c r="CV62" s="9"/>
      <c r="CW62" s="9"/>
      <c r="CX62" s="9"/>
      <c r="CY62" s="9"/>
      <c r="CZ62" s="9"/>
      <c r="DA62" s="9"/>
      <c r="DB62" s="9"/>
      <c r="DC62" s="9"/>
      <c r="DD62" s="9"/>
      <c r="DE62" s="9"/>
      <c r="DF62" s="9"/>
      <c r="DG62" s="9"/>
      <c r="DH62" s="9"/>
      <c r="DI62" s="9"/>
      <c r="DJ62" s="9"/>
      <c r="DK62" s="9"/>
      <c r="DL62" s="9"/>
      <c r="DM62" s="9"/>
      <c r="DN62" s="9"/>
      <c r="DO62" s="9"/>
      <c r="DP62" s="9"/>
      <c r="DQ62" s="9"/>
      <c r="DR62" s="9"/>
      <c r="DS62" s="9"/>
      <c r="DT62" s="9"/>
      <c r="DU62" s="9"/>
      <c r="DV62" s="9"/>
      <c r="DW62" s="9"/>
      <c r="DX62" s="9"/>
      <c r="DY62" s="9"/>
      <c r="DZ62" s="9"/>
      <c r="EA62" s="9"/>
      <c r="EB62" s="9"/>
      <c r="EC62" s="9"/>
      <c r="ED62" s="9"/>
      <c r="EE62" s="9"/>
      <c r="EF62" s="9"/>
      <c r="EG62" s="9"/>
      <c r="EH62" s="9"/>
      <c r="EI62" s="9"/>
      <c r="EJ62" s="9"/>
      <c r="EK62" s="9"/>
      <c r="EL62" s="9"/>
      <c r="EM62" s="9"/>
      <c r="EN62" s="9"/>
      <c r="EO62" s="9"/>
      <c r="EP62" s="9"/>
      <c r="EQ62" s="9"/>
      <c r="ER62" s="9"/>
      <c r="ES62" s="9"/>
      <c r="ET62" s="9"/>
      <c r="EU62" s="9"/>
      <c r="EV62" s="9"/>
      <c r="EW62" s="9"/>
      <c r="EX62" s="9"/>
      <c r="EY62" s="9"/>
      <c r="EZ62" s="9"/>
      <c r="FA62" s="9"/>
      <c r="FB62" s="9"/>
      <c r="FC62" s="9"/>
      <c r="FD62" s="9"/>
      <c r="FE62" s="9"/>
      <c r="FF62" s="9"/>
      <c r="FG62" s="9"/>
      <c r="FH62" s="9"/>
      <c r="FI62" s="9"/>
    </row>
    <row r="63" spans="1:165" x14ac:dyDescent="0.2">
      <c r="A63" s="1" t="s">
        <v>470</v>
      </c>
      <c r="B63" s="1" t="s">
        <v>471</v>
      </c>
      <c r="C63" s="1" t="s">
        <v>301</v>
      </c>
      <c r="D63" s="1" t="str">
        <f>HYPERLINK("http://eros.fiehnlab.ucdavis.edu:8080/binbase-compound/bin/show/232325?db=rtx5","232325")</f>
        <v>232325</v>
      </c>
      <c r="E63" s="1" t="s">
        <v>472</v>
      </c>
      <c r="F63" s="1" t="str">
        <f>HYPERLINK("http://www.genome.ad.jp/dbget-bin/www_bget?compound+C00123","C00123")</f>
        <v>C00123</v>
      </c>
      <c r="G63" s="1" t="str">
        <f>HYPERLINK("http://pubchem.ncbi.nlm.nih.gov/summary/summary.cgi?cid=6106","6106")</f>
        <v>6106</v>
      </c>
      <c r="H63" s="1"/>
      <c r="I63" s="8">
        <v>32487</v>
      </c>
      <c r="J63" s="8">
        <v>38295</v>
      </c>
      <c r="K63" s="8">
        <v>31195</v>
      </c>
      <c r="L63" s="8">
        <v>33170</v>
      </c>
      <c r="M63" s="8">
        <v>38131</v>
      </c>
      <c r="N63" s="8">
        <v>34900</v>
      </c>
      <c r="O63" s="8">
        <v>46622</v>
      </c>
      <c r="P63" s="8">
        <v>43066</v>
      </c>
      <c r="Q63" s="8">
        <v>42080</v>
      </c>
      <c r="R63" s="8">
        <v>33286</v>
      </c>
      <c r="S63" s="8">
        <v>33443</v>
      </c>
      <c r="T63" s="8">
        <v>43345</v>
      </c>
      <c r="U63" s="8">
        <v>34512</v>
      </c>
      <c r="V63" s="8">
        <v>38836</v>
      </c>
      <c r="W63" s="8">
        <v>27059</v>
      </c>
      <c r="X63" s="8">
        <v>50426</v>
      </c>
      <c r="Y63" s="8">
        <v>44846</v>
      </c>
      <c r="Z63" s="8">
        <v>33628</v>
      </c>
      <c r="AA63" s="8">
        <v>37638</v>
      </c>
      <c r="AB63" s="8">
        <v>31210</v>
      </c>
      <c r="AC63" s="8">
        <v>24059</v>
      </c>
      <c r="AD63" s="8">
        <v>29113</v>
      </c>
      <c r="AE63" s="8">
        <v>26849</v>
      </c>
      <c r="AF63" s="8">
        <v>27688</v>
      </c>
      <c r="AG63" s="8">
        <v>34644</v>
      </c>
      <c r="AH63" s="8">
        <v>27712</v>
      </c>
      <c r="AI63" s="8">
        <v>33138</v>
      </c>
      <c r="AJ63" s="8">
        <v>37263</v>
      </c>
      <c r="AK63" s="8">
        <v>32161</v>
      </c>
      <c r="AL63" s="8">
        <v>37412</v>
      </c>
      <c r="AM63" s="8">
        <v>44546</v>
      </c>
      <c r="AN63" s="8">
        <v>42943</v>
      </c>
      <c r="AO63" s="8">
        <v>43730</v>
      </c>
      <c r="AP63" s="8">
        <v>42628</v>
      </c>
      <c r="AQ63" s="8">
        <v>49437</v>
      </c>
      <c r="AR63" s="8">
        <v>46985</v>
      </c>
      <c r="AS63" s="8">
        <v>49269</v>
      </c>
      <c r="AT63" s="8">
        <v>47567</v>
      </c>
      <c r="AU63" s="8">
        <v>51545</v>
      </c>
      <c r="AV63" s="8">
        <v>51944</v>
      </c>
      <c r="AW63" s="8">
        <v>37439</v>
      </c>
      <c r="AX63" s="8">
        <v>46728</v>
      </c>
      <c r="AY63" s="8">
        <v>32040</v>
      </c>
      <c r="AZ63" s="8">
        <v>34092</v>
      </c>
      <c r="BA63" s="8">
        <v>36028</v>
      </c>
      <c r="BB63" s="8">
        <v>34258</v>
      </c>
      <c r="BC63" s="8">
        <v>37054</v>
      </c>
      <c r="BD63" s="8">
        <v>166</v>
      </c>
      <c r="BE63" s="8">
        <v>27534</v>
      </c>
      <c r="BF63" s="8">
        <v>29326</v>
      </c>
      <c r="BG63" s="8">
        <v>35189</v>
      </c>
      <c r="BH63" s="8">
        <v>40511</v>
      </c>
      <c r="BI63" s="8">
        <v>32277</v>
      </c>
      <c r="BJ63" s="8">
        <v>33158</v>
      </c>
      <c r="BK63" s="8">
        <v>46043</v>
      </c>
      <c r="BL63" s="8">
        <v>51752</v>
      </c>
      <c r="BM63" s="8">
        <v>50990</v>
      </c>
      <c r="BN63" s="8">
        <v>53941</v>
      </c>
      <c r="BO63" s="8">
        <v>47553</v>
      </c>
      <c r="BP63" s="8">
        <v>40163</v>
      </c>
      <c r="BQ63" s="8">
        <v>45397</v>
      </c>
      <c r="BR63" s="8">
        <v>44476</v>
      </c>
      <c r="BS63" s="8">
        <v>43745</v>
      </c>
      <c r="BT63" s="8">
        <v>49658</v>
      </c>
      <c r="BU63" s="8">
        <v>51135</v>
      </c>
      <c r="BV63" s="8">
        <v>44323</v>
      </c>
      <c r="BW63" s="8">
        <v>30816</v>
      </c>
      <c r="BX63" s="8">
        <v>31100</v>
      </c>
      <c r="BY63" s="8">
        <v>29519</v>
      </c>
      <c r="BZ63" s="8">
        <v>28299</v>
      </c>
      <c r="CA63" s="8">
        <v>29029</v>
      </c>
      <c r="CB63" s="8">
        <v>29039</v>
      </c>
      <c r="CC63" s="8">
        <v>27712</v>
      </c>
      <c r="CD63" s="8">
        <v>30520</v>
      </c>
      <c r="CE63" s="8">
        <v>27593</v>
      </c>
      <c r="CF63" s="8">
        <v>38250</v>
      </c>
      <c r="CG63" s="8">
        <v>35920</v>
      </c>
      <c r="CH63" s="8">
        <v>33975</v>
      </c>
      <c r="CJ63" s="9"/>
      <c r="CK63" s="9"/>
      <c r="CL63" s="9"/>
      <c r="CM63" s="9"/>
      <c r="CN63" s="9"/>
      <c r="CO63" s="9"/>
      <c r="CP63" s="9"/>
      <c r="CQ63" s="9"/>
      <c r="CR63" s="9"/>
      <c r="CS63" s="9"/>
      <c r="CT63" s="9"/>
      <c r="CU63" s="9"/>
      <c r="CV63" s="9"/>
      <c r="CW63" s="9"/>
      <c r="CX63" s="9"/>
      <c r="CY63" s="9"/>
      <c r="CZ63" s="9"/>
      <c r="DA63" s="9"/>
      <c r="DB63" s="9"/>
      <c r="DC63" s="9"/>
      <c r="DD63" s="9"/>
      <c r="DE63" s="9"/>
      <c r="DF63" s="9"/>
      <c r="DG63" s="9"/>
      <c r="DH63" s="9"/>
      <c r="DI63" s="9"/>
      <c r="DJ63" s="9"/>
      <c r="DK63" s="9"/>
      <c r="DL63" s="9"/>
      <c r="DM63" s="9"/>
      <c r="DN63" s="9"/>
      <c r="DO63" s="9"/>
      <c r="DP63" s="9"/>
      <c r="DQ63" s="9"/>
      <c r="DR63" s="9"/>
      <c r="DS63" s="9"/>
      <c r="DT63" s="9"/>
      <c r="DU63" s="9"/>
      <c r="DV63" s="9"/>
      <c r="DW63" s="9"/>
      <c r="DX63" s="9"/>
      <c r="DY63" s="9"/>
      <c r="DZ63" s="9"/>
      <c r="EA63" s="9"/>
      <c r="EB63" s="9"/>
      <c r="EC63" s="9"/>
      <c r="ED63" s="9"/>
      <c r="EE63" s="9"/>
      <c r="EF63" s="9"/>
      <c r="EG63" s="9"/>
      <c r="EH63" s="9"/>
      <c r="EI63" s="9"/>
      <c r="EJ63" s="9"/>
      <c r="EK63" s="9"/>
      <c r="EL63" s="9"/>
      <c r="EM63" s="9"/>
      <c r="EN63" s="9"/>
      <c r="EO63" s="9"/>
      <c r="EP63" s="9"/>
      <c r="EQ63" s="9"/>
      <c r="ER63" s="9"/>
      <c r="ES63" s="9"/>
      <c r="ET63" s="9"/>
      <c r="EU63" s="9"/>
      <c r="EV63" s="9"/>
      <c r="EW63" s="9"/>
      <c r="EX63" s="9"/>
      <c r="EY63" s="9"/>
      <c r="EZ63" s="9"/>
      <c r="FA63" s="9"/>
      <c r="FB63" s="9"/>
      <c r="FC63" s="9"/>
      <c r="FD63" s="9"/>
      <c r="FE63" s="9"/>
      <c r="FF63" s="9"/>
      <c r="FG63" s="9"/>
      <c r="FH63" s="9"/>
      <c r="FI63" s="9"/>
    </row>
    <row r="64" spans="1:165" x14ac:dyDescent="0.2">
      <c r="A64" s="1" t="s">
        <v>473</v>
      </c>
      <c r="B64" s="1" t="s">
        <v>474</v>
      </c>
      <c r="C64" s="1" t="s">
        <v>304</v>
      </c>
      <c r="D64" s="1" t="str">
        <f>HYPERLINK("http://eros.fiehnlab.ucdavis.edu:8080/binbase-compound/bin/show/201826?db=rtx5","201826")</f>
        <v>201826</v>
      </c>
      <c r="E64" s="1" t="s">
        <v>475</v>
      </c>
      <c r="F64" s="1" t="str">
        <f>HYPERLINK("http://www.genome.ad.jp/dbget-bin/www_bget?compound+C02679 ","C02679 ")</f>
        <v xml:space="preserve">C02679 </v>
      </c>
      <c r="G64" s="1" t="str">
        <f>HYPERLINK("http://pubchem.ncbi.nlm.nih.gov/summary/summary.cgi?cid=3893","3893")</f>
        <v>3893</v>
      </c>
      <c r="H64" s="1"/>
      <c r="I64" s="8">
        <v>30792</v>
      </c>
      <c r="J64" s="8">
        <v>31261</v>
      </c>
      <c r="K64" s="8">
        <v>33116</v>
      </c>
      <c r="L64" s="8">
        <v>28552</v>
      </c>
      <c r="M64" s="8">
        <v>585</v>
      </c>
      <c r="N64" s="8">
        <v>656</v>
      </c>
      <c r="O64" s="8">
        <v>32645</v>
      </c>
      <c r="P64" s="8">
        <v>43568</v>
      </c>
      <c r="Q64" s="8">
        <v>483</v>
      </c>
      <c r="R64" s="8">
        <v>634</v>
      </c>
      <c r="S64" s="8">
        <v>602</v>
      </c>
      <c r="T64" s="8">
        <v>357</v>
      </c>
      <c r="U64" s="8">
        <v>25582</v>
      </c>
      <c r="V64" s="8">
        <v>25806</v>
      </c>
      <c r="W64" s="8">
        <v>26364</v>
      </c>
      <c r="X64" s="8">
        <v>662</v>
      </c>
      <c r="Y64" s="8">
        <v>483</v>
      </c>
      <c r="Z64" s="8">
        <v>503</v>
      </c>
      <c r="AA64" s="8">
        <v>20077</v>
      </c>
      <c r="AB64" s="8">
        <v>25741</v>
      </c>
      <c r="AC64" s="8">
        <v>29775</v>
      </c>
      <c r="AD64" s="8">
        <v>43264</v>
      </c>
      <c r="AE64" s="8">
        <v>29614</v>
      </c>
      <c r="AF64" s="8">
        <v>361</v>
      </c>
      <c r="AG64" s="8">
        <v>27097</v>
      </c>
      <c r="AH64" s="8">
        <v>21575</v>
      </c>
      <c r="AI64" s="8">
        <v>27737</v>
      </c>
      <c r="AJ64" s="8">
        <v>40196</v>
      </c>
      <c r="AK64" s="8">
        <v>34510</v>
      </c>
      <c r="AL64" s="8">
        <v>33067</v>
      </c>
      <c r="AM64" s="8">
        <v>44230</v>
      </c>
      <c r="AN64" s="8">
        <v>31859</v>
      </c>
      <c r="AO64" s="8">
        <v>33097</v>
      </c>
      <c r="AP64" s="8">
        <v>38044</v>
      </c>
      <c r="AQ64" s="8">
        <v>554</v>
      </c>
      <c r="AR64" s="8">
        <v>502</v>
      </c>
      <c r="AS64" s="8">
        <v>33659</v>
      </c>
      <c r="AT64" s="8">
        <v>33792</v>
      </c>
      <c r="AU64" s="8">
        <v>27357</v>
      </c>
      <c r="AV64" s="8">
        <v>23646</v>
      </c>
      <c r="AW64" s="8">
        <v>30978</v>
      </c>
      <c r="AX64" s="8">
        <v>25649</v>
      </c>
      <c r="AY64" s="8">
        <v>29772</v>
      </c>
      <c r="AZ64" s="8">
        <v>35796</v>
      </c>
      <c r="BA64" s="8">
        <v>623</v>
      </c>
      <c r="BB64" s="8">
        <v>767</v>
      </c>
      <c r="BC64" s="8">
        <v>826</v>
      </c>
      <c r="BD64" s="8">
        <v>774</v>
      </c>
      <c r="BE64" s="8">
        <v>40490</v>
      </c>
      <c r="BF64" s="8">
        <v>32943</v>
      </c>
      <c r="BG64" s="8">
        <v>28636</v>
      </c>
      <c r="BH64" s="8">
        <v>22883</v>
      </c>
      <c r="BI64" s="8">
        <v>547</v>
      </c>
      <c r="BJ64" s="8">
        <v>483</v>
      </c>
      <c r="BK64" s="8">
        <v>33659</v>
      </c>
      <c r="BL64" s="8">
        <v>37860</v>
      </c>
      <c r="BM64" s="8">
        <v>31954</v>
      </c>
      <c r="BN64" s="8">
        <v>26752</v>
      </c>
      <c r="BO64" s="8">
        <v>42592</v>
      </c>
      <c r="BP64" s="8">
        <v>32317</v>
      </c>
      <c r="BQ64" s="8">
        <v>25210</v>
      </c>
      <c r="BR64" s="8">
        <v>28617</v>
      </c>
      <c r="BS64" s="8">
        <v>29201</v>
      </c>
      <c r="BT64" s="8">
        <v>28361</v>
      </c>
      <c r="BU64" s="8">
        <v>29495</v>
      </c>
      <c r="BV64" s="8">
        <v>496</v>
      </c>
      <c r="BW64" s="8">
        <v>29871</v>
      </c>
      <c r="BX64" s="8">
        <v>32123</v>
      </c>
      <c r="BY64" s="8">
        <v>25439</v>
      </c>
      <c r="BZ64" s="8">
        <v>29446</v>
      </c>
      <c r="CA64" s="8">
        <v>565</v>
      </c>
      <c r="CB64" s="8">
        <v>425</v>
      </c>
      <c r="CC64" s="8">
        <v>28606</v>
      </c>
      <c r="CD64" s="8">
        <v>29633</v>
      </c>
      <c r="CE64" s="8">
        <v>28775</v>
      </c>
      <c r="CF64" s="8">
        <v>25108</v>
      </c>
      <c r="CG64" s="8">
        <v>29263</v>
      </c>
      <c r="CH64" s="8">
        <v>400</v>
      </c>
      <c r="CJ64" s="9"/>
      <c r="CK64" s="9"/>
      <c r="CL64" s="9"/>
      <c r="CM64" s="9"/>
      <c r="CN64" s="9"/>
      <c r="CO64" s="9"/>
      <c r="CP64" s="9"/>
      <c r="CQ64" s="9"/>
      <c r="CR64" s="9"/>
      <c r="CS64" s="9"/>
      <c r="CT64" s="9"/>
      <c r="CU64" s="9"/>
      <c r="CV64" s="9"/>
      <c r="CW64" s="9"/>
      <c r="CX64" s="9"/>
      <c r="CY64" s="9"/>
      <c r="CZ64" s="9"/>
      <c r="DA64" s="9"/>
      <c r="DB64" s="9"/>
      <c r="DC64" s="9"/>
      <c r="DD64" s="9"/>
      <c r="DE64" s="9"/>
      <c r="DF64" s="9"/>
      <c r="DG64" s="9"/>
      <c r="DH64" s="9"/>
      <c r="DI64" s="9"/>
      <c r="DJ64" s="9"/>
      <c r="DK64" s="9"/>
      <c r="DL64" s="9"/>
      <c r="DM64" s="9"/>
      <c r="DN64" s="9"/>
      <c r="DO64" s="9"/>
      <c r="DP64" s="9"/>
      <c r="DQ64" s="9"/>
      <c r="DR64" s="9"/>
      <c r="DS64" s="9"/>
      <c r="DT64" s="9"/>
      <c r="DU64" s="9"/>
      <c r="DV64" s="9"/>
      <c r="DW64" s="9"/>
      <c r="DX64" s="9"/>
      <c r="DY64" s="9"/>
      <c r="DZ64" s="9"/>
      <c r="EA64" s="9"/>
      <c r="EB64" s="9"/>
      <c r="EC64" s="9"/>
      <c r="ED64" s="9"/>
      <c r="EE64" s="9"/>
      <c r="EF64" s="9"/>
      <c r="EG64" s="9"/>
      <c r="EH64" s="9"/>
      <c r="EI64" s="9"/>
      <c r="EJ64" s="9"/>
      <c r="EK64" s="9"/>
      <c r="EL64" s="9"/>
      <c r="EM64" s="9"/>
      <c r="EN64" s="9"/>
      <c r="EO64" s="9"/>
      <c r="EP64" s="9"/>
      <c r="EQ64" s="9"/>
      <c r="ER64" s="9"/>
      <c r="ES64" s="9"/>
      <c r="ET64" s="9"/>
      <c r="EU64" s="9"/>
      <c r="EV64" s="9"/>
      <c r="EW64" s="9"/>
      <c r="EX64" s="9"/>
      <c r="EY64" s="9"/>
      <c r="EZ64" s="9"/>
      <c r="FA64" s="9"/>
      <c r="FB64" s="9"/>
      <c r="FC64" s="9"/>
      <c r="FD64" s="9"/>
      <c r="FE64" s="9"/>
      <c r="FF64" s="9"/>
      <c r="FG64" s="9"/>
      <c r="FH64" s="9"/>
      <c r="FI64" s="9"/>
    </row>
    <row r="65" spans="1:165" x14ac:dyDescent="0.2">
      <c r="A65" s="1" t="s">
        <v>476</v>
      </c>
      <c r="B65" s="1" t="s">
        <v>477</v>
      </c>
      <c r="C65" s="1" t="s">
        <v>303</v>
      </c>
      <c r="D65" s="1" t="str">
        <f>HYPERLINK("http://eros.fiehnlab.ucdavis.edu:8080/binbase-compound/bin/show/269290?db=rtx5","269290")</f>
        <v>269290</v>
      </c>
      <c r="E65" s="1" t="s">
        <v>478</v>
      </c>
      <c r="F65" s="1" t="str">
        <f>HYPERLINK("http://www.genome.ad.jp/dbget-bin/www_bget?compound+C01189","C01189")</f>
        <v>C01189</v>
      </c>
      <c r="G65" s="1" t="str">
        <f>HYPERLINK("http://pubchem.ncbi.nlm.nih.gov/summary/summary.cgi?cid=65728","65728")</f>
        <v>65728</v>
      </c>
      <c r="H65" s="1"/>
      <c r="I65" s="8">
        <v>187</v>
      </c>
      <c r="J65" s="8">
        <v>178</v>
      </c>
      <c r="K65" s="8">
        <v>210</v>
      </c>
      <c r="L65" s="8">
        <v>176</v>
      </c>
      <c r="M65" s="8">
        <v>228</v>
      </c>
      <c r="N65" s="8">
        <v>231</v>
      </c>
      <c r="O65" s="8">
        <v>376</v>
      </c>
      <c r="P65" s="8">
        <v>273</v>
      </c>
      <c r="Q65" s="8">
        <v>246</v>
      </c>
      <c r="R65" s="8">
        <v>366</v>
      </c>
      <c r="S65" s="8">
        <v>458</v>
      </c>
      <c r="T65" s="8">
        <v>213</v>
      </c>
      <c r="U65" s="8">
        <v>294</v>
      </c>
      <c r="V65" s="8">
        <v>214</v>
      </c>
      <c r="W65" s="8">
        <v>203</v>
      </c>
      <c r="X65" s="8">
        <v>365</v>
      </c>
      <c r="Y65" s="8">
        <v>249</v>
      </c>
      <c r="Z65" s="8">
        <v>254</v>
      </c>
      <c r="AA65" s="8">
        <v>165</v>
      </c>
      <c r="AB65" s="8">
        <v>515</v>
      </c>
      <c r="AC65" s="8">
        <v>823</v>
      </c>
      <c r="AD65" s="8">
        <v>357</v>
      </c>
      <c r="AE65" s="8">
        <v>560</v>
      </c>
      <c r="AF65" s="8">
        <v>80</v>
      </c>
      <c r="AG65" s="8">
        <v>468</v>
      </c>
      <c r="AH65" s="8">
        <v>293</v>
      </c>
      <c r="AI65" s="8">
        <v>437</v>
      </c>
      <c r="AJ65" s="8">
        <v>469</v>
      </c>
      <c r="AK65" s="8">
        <v>238</v>
      </c>
      <c r="AL65" s="8">
        <v>415</v>
      </c>
      <c r="AM65" s="8">
        <v>372</v>
      </c>
      <c r="AN65" s="8">
        <v>400</v>
      </c>
      <c r="AO65" s="8">
        <v>390</v>
      </c>
      <c r="AP65" s="8">
        <v>331</v>
      </c>
      <c r="AQ65" s="8">
        <v>352</v>
      </c>
      <c r="AR65" s="8">
        <v>210</v>
      </c>
      <c r="AS65" s="8">
        <v>346</v>
      </c>
      <c r="AT65" s="8">
        <v>250</v>
      </c>
      <c r="AU65" s="8">
        <v>136</v>
      </c>
      <c r="AV65" s="8">
        <v>215</v>
      </c>
      <c r="AW65" s="8">
        <v>207</v>
      </c>
      <c r="AX65" s="8">
        <v>232</v>
      </c>
      <c r="AY65" s="8">
        <v>411</v>
      </c>
      <c r="AZ65" s="8">
        <v>366</v>
      </c>
      <c r="BA65" s="8">
        <v>199</v>
      </c>
      <c r="BB65" s="8">
        <v>228</v>
      </c>
      <c r="BC65" s="8">
        <v>417</v>
      </c>
      <c r="BD65" s="8">
        <v>320</v>
      </c>
      <c r="BE65" s="8">
        <v>350</v>
      </c>
      <c r="BF65" s="8">
        <v>499</v>
      </c>
      <c r="BG65" s="8">
        <v>334</v>
      </c>
      <c r="BH65" s="8">
        <v>304</v>
      </c>
      <c r="BI65" s="8">
        <v>327</v>
      </c>
      <c r="BJ65" s="8">
        <v>400</v>
      </c>
      <c r="BK65" s="8">
        <v>292</v>
      </c>
      <c r="BL65" s="8">
        <v>324</v>
      </c>
      <c r="BM65" s="8">
        <v>256</v>
      </c>
      <c r="BN65" s="8">
        <v>221</v>
      </c>
      <c r="BO65" s="8">
        <v>249</v>
      </c>
      <c r="BP65" s="8">
        <v>202</v>
      </c>
      <c r="BQ65" s="8">
        <v>267</v>
      </c>
      <c r="BR65" s="8">
        <v>206</v>
      </c>
      <c r="BS65" s="8">
        <v>280</v>
      </c>
      <c r="BT65" s="8">
        <v>274</v>
      </c>
      <c r="BU65" s="8">
        <v>166</v>
      </c>
      <c r="BV65" s="8">
        <v>190</v>
      </c>
      <c r="BW65" s="8">
        <v>250</v>
      </c>
      <c r="BX65" s="8">
        <v>290</v>
      </c>
      <c r="BY65" s="8">
        <v>294</v>
      </c>
      <c r="BZ65" s="8">
        <v>260</v>
      </c>
      <c r="CA65" s="8">
        <v>332</v>
      </c>
      <c r="CB65" s="8">
        <v>260</v>
      </c>
      <c r="CC65" s="8">
        <v>316</v>
      </c>
      <c r="CD65" s="8">
        <v>416</v>
      </c>
      <c r="CE65" s="8">
        <v>369</v>
      </c>
      <c r="CF65" s="8">
        <v>256</v>
      </c>
      <c r="CG65" s="8">
        <v>338</v>
      </c>
      <c r="CH65" s="8">
        <v>323</v>
      </c>
      <c r="CJ65" s="9"/>
      <c r="CK65" s="9"/>
      <c r="CL65" s="9"/>
      <c r="CM65" s="9"/>
      <c r="CN65" s="9"/>
      <c r="CO65" s="9"/>
      <c r="CP65" s="9"/>
      <c r="CQ65" s="9"/>
      <c r="CR65" s="9"/>
      <c r="CS65" s="9"/>
      <c r="CT65" s="9"/>
      <c r="CU65" s="9"/>
      <c r="CV65" s="9"/>
      <c r="CW65" s="9"/>
      <c r="CX65" s="9"/>
      <c r="CY65" s="9"/>
      <c r="CZ65" s="9"/>
      <c r="DA65" s="9"/>
      <c r="DB65" s="9"/>
      <c r="DC65" s="9"/>
      <c r="DD65" s="9"/>
      <c r="DE65" s="9"/>
      <c r="DF65" s="9"/>
      <c r="DG65" s="9"/>
      <c r="DH65" s="9"/>
      <c r="DI65" s="9"/>
      <c r="DJ65" s="9"/>
      <c r="DK65" s="9"/>
      <c r="DL65" s="9"/>
      <c r="DM65" s="9"/>
      <c r="DN65" s="9"/>
      <c r="DO65" s="9"/>
      <c r="DP65" s="9"/>
      <c r="DQ65" s="9"/>
      <c r="DR65" s="9"/>
      <c r="DS65" s="9"/>
      <c r="DT65" s="9"/>
      <c r="DU65" s="9"/>
      <c r="DV65" s="9"/>
      <c r="DW65" s="9"/>
      <c r="DX65" s="9"/>
      <c r="DY65" s="9"/>
      <c r="DZ65" s="9"/>
      <c r="EA65" s="9"/>
      <c r="EB65" s="9"/>
      <c r="EC65" s="9"/>
      <c r="ED65" s="9"/>
      <c r="EE65" s="9"/>
      <c r="EF65" s="9"/>
      <c r="EG65" s="9"/>
      <c r="EH65" s="9"/>
      <c r="EI65" s="9"/>
      <c r="EJ65" s="9"/>
      <c r="EK65" s="9"/>
      <c r="EL65" s="9"/>
      <c r="EM65" s="9"/>
      <c r="EN65" s="9"/>
      <c r="EO65" s="9"/>
      <c r="EP65" s="9"/>
      <c r="EQ65" s="9"/>
      <c r="ER65" s="9"/>
      <c r="ES65" s="9"/>
      <c r="ET65" s="9"/>
      <c r="EU65" s="9"/>
      <c r="EV65" s="9"/>
      <c r="EW65" s="9"/>
      <c r="EX65" s="9"/>
      <c r="EY65" s="9"/>
      <c r="EZ65" s="9"/>
      <c r="FA65" s="9"/>
      <c r="FB65" s="9"/>
      <c r="FC65" s="9"/>
      <c r="FD65" s="9"/>
      <c r="FE65" s="9"/>
      <c r="FF65" s="9"/>
      <c r="FG65" s="9"/>
      <c r="FH65" s="9"/>
      <c r="FI65" s="9"/>
    </row>
    <row r="66" spans="1:165" x14ac:dyDescent="0.2">
      <c r="A66" s="1" t="s">
        <v>479</v>
      </c>
      <c r="B66" s="1" t="s">
        <v>480</v>
      </c>
      <c r="C66" s="1" t="s">
        <v>481</v>
      </c>
      <c r="D66" s="1" t="str">
        <f>HYPERLINK("http://eros.fiehnlab.ucdavis.edu:8080/binbase-compound/bin/show/199591?db=rtx5","199591")</f>
        <v>199591</v>
      </c>
      <c r="E66" s="1" t="s">
        <v>482</v>
      </c>
      <c r="F66" s="1" t="str">
        <f>HYPERLINK("http://www.genome.ad.jp/dbget-bin/www_bget?compound+C00186","C00186")</f>
        <v>C00186</v>
      </c>
      <c r="G66" s="1" t="str">
        <f>HYPERLINK("http://pubchem.ncbi.nlm.nih.gov/summary/summary.cgi?cid=612","612")</f>
        <v>612</v>
      </c>
      <c r="H66" s="1"/>
      <c r="I66" s="8">
        <v>15202</v>
      </c>
      <c r="J66" s="8">
        <v>14004</v>
      </c>
      <c r="K66" s="8">
        <v>14216</v>
      </c>
      <c r="L66" s="8">
        <v>19853</v>
      </c>
      <c r="M66" s="8">
        <v>24609</v>
      </c>
      <c r="N66" s="8">
        <v>20002</v>
      </c>
      <c r="O66" s="8">
        <v>33335</v>
      </c>
      <c r="P66" s="8">
        <v>30500</v>
      </c>
      <c r="Q66" s="8">
        <v>31368</v>
      </c>
      <c r="R66" s="8">
        <v>33468</v>
      </c>
      <c r="S66" s="8">
        <v>35416</v>
      </c>
      <c r="T66" s="8">
        <v>29991</v>
      </c>
      <c r="U66" s="8">
        <v>20262</v>
      </c>
      <c r="V66" s="8">
        <v>27360</v>
      </c>
      <c r="W66" s="8">
        <v>38733</v>
      </c>
      <c r="X66" s="8">
        <v>30596</v>
      </c>
      <c r="Y66" s="8">
        <v>28642</v>
      </c>
      <c r="Z66" s="8">
        <v>26467</v>
      </c>
      <c r="AA66" s="8">
        <v>46348</v>
      </c>
      <c r="AB66" s="8">
        <v>49190</v>
      </c>
      <c r="AC66" s="8">
        <v>67870</v>
      </c>
      <c r="AD66" s="8">
        <v>53070</v>
      </c>
      <c r="AE66" s="8">
        <v>65326</v>
      </c>
      <c r="AF66" s="8">
        <v>59292</v>
      </c>
      <c r="AG66" s="8">
        <v>31424</v>
      </c>
      <c r="AH66" s="8">
        <v>33786</v>
      </c>
      <c r="AI66" s="8">
        <v>44312</v>
      </c>
      <c r="AJ66" s="8">
        <v>38878</v>
      </c>
      <c r="AK66" s="8">
        <v>31994</v>
      </c>
      <c r="AL66" s="8">
        <v>29100</v>
      </c>
      <c r="AM66" s="8">
        <v>21884</v>
      </c>
      <c r="AN66" s="8">
        <v>25731</v>
      </c>
      <c r="AO66" s="8">
        <v>29428</v>
      </c>
      <c r="AP66" s="8">
        <v>33670</v>
      </c>
      <c r="AQ66" s="8">
        <v>30940</v>
      </c>
      <c r="AR66" s="8">
        <v>26562</v>
      </c>
      <c r="AS66" s="8">
        <v>21600</v>
      </c>
      <c r="AT66" s="8">
        <v>19962</v>
      </c>
      <c r="AU66" s="8">
        <v>29599</v>
      </c>
      <c r="AV66" s="8">
        <v>22209</v>
      </c>
      <c r="AW66" s="8">
        <v>28195</v>
      </c>
      <c r="AX66" s="8">
        <v>32947</v>
      </c>
      <c r="AY66" s="8">
        <v>73459</v>
      </c>
      <c r="AZ66" s="8">
        <v>33347</v>
      </c>
      <c r="BA66" s="8">
        <v>22354</v>
      </c>
      <c r="BB66" s="8">
        <v>32926</v>
      </c>
      <c r="BC66" s="8">
        <v>52283</v>
      </c>
      <c r="BD66" s="8">
        <v>23107</v>
      </c>
      <c r="BE66" s="8">
        <v>33553</v>
      </c>
      <c r="BF66" s="8">
        <v>30458</v>
      </c>
      <c r="BG66" s="8">
        <v>31627</v>
      </c>
      <c r="BH66" s="8">
        <v>37916</v>
      </c>
      <c r="BI66" s="8">
        <v>44717</v>
      </c>
      <c r="BJ66" s="8">
        <v>39244</v>
      </c>
      <c r="BK66" s="8">
        <v>21598</v>
      </c>
      <c r="BL66" s="8">
        <v>25594</v>
      </c>
      <c r="BM66" s="8">
        <v>27255</v>
      </c>
      <c r="BN66" s="8">
        <v>29909</v>
      </c>
      <c r="BO66" s="8">
        <v>26244</v>
      </c>
      <c r="BP66" s="8">
        <v>20871</v>
      </c>
      <c r="BQ66" s="8">
        <v>24209</v>
      </c>
      <c r="BR66" s="8">
        <v>23953</v>
      </c>
      <c r="BS66" s="8">
        <v>23536</v>
      </c>
      <c r="BT66" s="8">
        <v>27644</v>
      </c>
      <c r="BU66" s="8">
        <v>27210</v>
      </c>
      <c r="BV66" s="8">
        <v>20067</v>
      </c>
      <c r="BW66" s="8">
        <v>38225</v>
      </c>
      <c r="BX66" s="8">
        <v>39548</v>
      </c>
      <c r="BY66" s="8">
        <v>35937</v>
      </c>
      <c r="BZ66" s="8">
        <v>43862</v>
      </c>
      <c r="CA66" s="8">
        <v>45054</v>
      </c>
      <c r="CB66" s="8">
        <v>47991</v>
      </c>
      <c r="CC66" s="8">
        <v>28598</v>
      </c>
      <c r="CD66" s="8">
        <v>56331</v>
      </c>
      <c r="CE66" s="8">
        <v>28880</v>
      </c>
      <c r="CF66" s="8">
        <v>32956</v>
      </c>
      <c r="CG66" s="8">
        <v>35937</v>
      </c>
      <c r="CH66" s="8">
        <v>26911</v>
      </c>
      <c r="CJ66" s="9"/>
      <c r="CK66" s="9"/>
      <c r="CL66" s="9"/>
      <c r="CM66" s="9"/>
      <c r="CN66" s="9"/>
      <c r="CO66" s="9"/>
      <c r="CP66" s="9"/>
      <c r="CQ66" s="9"/>
      <c r="CR66" s="9"/>
      <c r="CS66" s="9"/>
      <c r="CT66" s="9"/>
      <c r="CU66" s="9"/>
      <c r="CV66" s="9"/>
      <c r="CW66" s="9"/>
      <c r="CX66" s="9"/>
      <c r="CY66" s="9"/>
      <c r="CZ66" s="9"/>
      <c r="DA66" s="9"/>
      <c r="DB66" s="9"/>
      <c r="DC66" s="9"/>
      <c r="DD66" s="9"/>
      <c r="DE66" s="9"/>
      <c r="DF66" s="9"/>
      <c r="DG66" s="9"/>
      <c r="DH66" s="9"/>
      <c r="DI66" s="9"/>
      <c r="DJ66" s="9"/>
      <c r="DK66" s="9"/>
      <c r="DL66" s="9"/>
      <c r="DM66" s="9"/>
      <c r="DN66" s="9"/>
      <c r="DO66" s="9"/>
      <c r="DP66" s="9"/>
      <c r="DQ66" s="9"/>
      <c r="DR66" s="9"/>
      <c r="DS66" s="9"/>
      <c r="DT66" s="9"/>
      <c r="DU66" s="9"/>
      <c r="DV66" s="9"/>
      <c r="DW66" s="9"/>
      <c r="DX66" s="9"/>
      <c r="DY66" s="9"/>
      <c r="DZ66" s="9"/>
      <c r="EA66" s="9"/>
      <c r="EB66" s="9"/>
      <c r="EC66" s="9"/>
      <c r="ED66" s="9"/>
      <c r="EE66" s="9"/>
      <c r="EF66" s="9"/>
      <c r="EG66" s="9"/>
      <c r="EH66" s="9"/>
      <c r="EI66" s="9"/>
      <c r="EJ66" s="9"/>
      <c r="EK66" s="9"/>
      <c r="EL66" s="9"/>
      <c r="EM66" s="9"/>
      <c r="EN66" s="9"/>
      <c r="EO66" s="9"/>
      <c r="EP66" s="9"/>
      <c r="EQ66" s="9"/>
      <c r="ER66" s="9"/>
      <c r="ES66" s="9"/>
      <c r="ET66" s="9"/>
      <c r="EU66" s="9"/>
      <c r="EV66" s="9"/>
      <c r="EW66" s="9"/>
      <c r="EX66" s="9"/>
      <c r="EY66" s="9"/>
      <c r="EZ66" s="9"/>
      <c r="FA66" s="9"/>
      <c r="FB66" s="9"/>
      <c r="FC66" s="9"/>
      <c r="FD66" s="9"/>
      <c r="FE66" s="9"/>
      <c r="FF66" s="9"/>
      <c r="FG66" s="9"/>
      <c r="FH66" s="9"/>
      <c r="FI66" s="9"/>
    </row>
    <row r="67" spans="1:165" x14ac:dyDescent="0.2">
      <c r="A67" s="1" t="s">
        <v>483</v>
      </c>
      <c r="B67" s="1" t="s">
        <v>484</v>
      </c>
      <c r="C67" s="1" t="s">
        <v>485</v>
      </c>
      <c r="D67" s="1" t="str">
        <f>HYPERLINK("http://eros.fiehnlab.ucdavis.edu:8080/binbase-compound/bin/show/200467?db=rtx5","200467")</f>
        <v>200467</v>
      </c>
      <c r="E67" s="1" t="s">
        <v>486</v>
      </c>
      <c r="F67" s="1" t="str">
        <f>HYPERLINK("http://www.genome.ad.jp/dbget-bin/www_bget?compound+n/a","n/a")</f>
        <v>n/a</v>
      </c>
      <c r="G67" s="1" t="str">
        <f>HYPERLINK("http://pubchem.ncbi.nlm.nih.gov/summary/summary.cgi?cid=151152","151152")</f>
        <v>151152</v>
      </c>
      <c r="H67" s="1"/>
      <c r="I67" s="8">
        <v>1254</v>
      </c>
      <c r="J67" s="8">
        <v>1235</v>
      </c>
      <c r="K67" s="8">
        <v>1148</v>
      </c>
      <c r="L67" s="8">
        <v>1069</v>
      </c>
      <c r="M67" s="8">
        <v>1371</v>
      </c>
      <c r="N67" s="8">
        <v>1322</v>
      </c>
      <c r="O67" s="8">
        <v>540</v>
      </c>
      <c r="P67" s="8">
        <v>510</v>
      </c>
      <c r="Q67" s="8">
        <v>590</v>
      </c>
      <c r="R67" s="8">
        <v>610</v>
      </c>
      <c r="S67" s="8">
        <v>590</v>
      </c>
      <c r="T67" s="8">
        <v>473</v>
      </c>
      <c r="U67" s="8">
        <v>443</v>
      </c>
      <c r="V67" s="8">
        <v>513</v>
      </c>
      <c r="W67" s="8">
        <v>516</v>
      </c>
      <c r="X67" s="8">
        <v>520</v>
      </c>
      <c r="Y67" s="8">
        <v>426</v>
      </c>
      <c r="Z67" s="8">
        <v>514</v>
      </c>
      <c r="AA67" s="8">
        <v>407</v>
      </c>
      <c r="AB67" s="8">
        <v>436</v>
      </c>
      <c r="AC67" s="8">
        <v>487</v>
      </c>
      <c r="AD67" s="8">
        <v>346</v>
      </c>
      <c r="AE67" s="8">
        <v>493</v>
      </c>
      <c r="AF67" s="8">
        <v>415</v>
      </c>
      <c r="AG67" s="8">
        <v>425</v>
      </c>
      <c r="AH67" s="8">
        <v>559</v>
      </c>
      <c r="AI67" s="8">
        <v>430</v>
      </c>
      <c r="AJ67" s="8">
        <v>663</v>
      </c>
      <c r="AK67" s="8">
        <v>449</v>
      </c>
      <c r="AL67" s="8">
        <v>562</v>
      </c>
      <c r="AM67" s="8">
        <v>402</v>
      </c>
      <c r="AN67" s="8">
        <v>378</v>
      </c>
      <c r="AO67" s="8">
        <v>279</v>
      </c>
      <c r="AP67" s="8">
        <v>339</v>
      </c>
      <c r="AQ67" s="8">
        <v>319</v>
      </c>
      <c r="AR67" s="8">
        <v>282</v>
      </c>
      <c r="AS67" s="8">
        <v>333</v>
      </c>
      <c r="AT67" s="8">
        <v>428</v>
      </c>
      <c r="AU67" s="8">
        <v>370</v>
      </c>
      <c r="AV67" s="8">
        <v>334</v>
      </c>
      <c r="AW67" s="8">
        <v>445</v>
      </c>
      <c r="AX67" s="8">
        <v>327</v>
      </c>
      <c r="AY67" s="8">
        <v>195</v>
      </c>
      <c r="AZ67" s="8">
        <v>253</v>
      </c>
      <c r="BA67" s="8">
        <v>165</v>
      </c>
      <c r="BB67" s="8">
        <v>247</v>
      </c>
      <c r="BC67" s="8">
        <v>247</v>
      </c>
      <c r="BD67" s="8">
        <v>253</v>
      </c>
      <c r="BE67" s="8">
        <v>572</v>
      </c>
      <c r="BF67" s="8">
        <v>559</v>
      </c>
      <c r="BG67" s="8">
        <v>587</v>
      </c>
      <c r="BH67" s="8">
        <v>487</v>
      </c>
      <c r="BI67" s="8">
        <v>638</v>
      </c>
      <c r="BJ67" s="8">
        <v>528</v>
      </c>
      <c r="BK67" s="8">
        <v>691</v>
      </c>
      <c r="BL67" s="8">
        <v>494</v>
      </c>
      <c r="BM67" s="8">
        <v>558</v>
      </c>
      <c r="BN67" s="8">
        <v>542</v>
      </c>
      <c r="BO67" s="8">
        <v>605</v>
      </c>
      <c r="BP67" s="8">
        <v>665</v>
      </c>
      <c r="BQ67" s="8">
        <v>512</v>
      </c>
      <c r="BR67" s="8">
        <v>479</v>
      </c>
      <c r="BS67" s="8">
        <v>487</v>
      </c>
      <c r="BT67" s="8">
        <v>531</v>
      </c>
      <c r="BU67" s="8">
        <v>492</v>
      </c>
      <c r="BV67" s="8">
        <v>505</v>
      </c>
      <c r="BW67" s="8">
        <v>514</v>
      </c>
      <c r="BX67" s="8">
        <v>470</v>
      </c>
      <c r="BY67" s="8">
        <v>470</v>
      </c>
      <c r="BZ67" s="8">
        <v>534</v>
      </c>
      <c r="CA67" s="8">
        <v>532</v>
      </c>
      <c r="CB67" s="8">
        <v>505</v>
      </c>
      <c r="CC67" s="8">
        <v>357</v>
      </c>
      <c r="CD67" s="8">
        <v>415</v>
      </c>
      <c r="CE67" s="8">
        <v>404</v>
      </c>
      <c r="CF67" s="8">
        <v>463</v>
      </c>
      <c r="CG67" s="8">
        <v>503</v>
      </c>
      <c r="CH67" s="8">
        <v>555</v>
      </c>
      <c r="CJ67" s="9"/>
      <c r="CK67" s="9"/>
      <c r="CL67" s="9"/>
      <c r="CM67" s="9"/>
      <c r="CN67" s="9"/>
      <c r="CO67" s="9"/>
      <c r="CP67" s="9"/>
      <c r="CQ67" s="9"/>
      <c r="CR67" s="9"/>
      <c r="CS67" s="9"/>
      <c r="CT67" s="9"/>
      <c r="CU67" s="9"/>
      <c r="CV67" s="9"/>
      <c r="CW67" s="9"/>
      <c r="CX67" s="9"/>
      <c r="CY67" s="9"/>
      <c r="CZ67" s="9"/>
      <c r="DA67" s="9"/>
      <c r="DB67" s="9"/>
      <c r="DC67" s="9"/>
      <c r="DD67" s="9"/>
      <c r="DE67" s="9"/>
      <c r="DF67" s="9"/>
      <c r="DG67" s="9"/>
      <c r="DH67" s="9"/>
      <c r="DI67" s="9"/>
      <c r="DJ67" s="9"/>
      <c r="DK67" s="9"/>
      <c r="DL67" s="9"/>
      <c r="DM67" s="9"/>
      <c r="DN67" s="9"/>
      <c r="DO67" s="9"/>
      <c r="DP67" s="9"/>
      <c r="DQ67" s="9"/>
      <c r="DR67" s="9"/>
      <c r="DS67" s="9"/>
      <c r="DT67" s="9"/>
      <c r="DU67" s="9"/>
      <c r="DV67" s="9"/>
      <c r="DW67" s="9"/>
      <c r="DX67" s="9"/>
      <c r="DY67" s="9"/>
      <c r="DZ67" s="9"/>
      <c r="EA67" s="9"/>
      <c r="EB67" s="9"/>
      <c r="EC67" s="9"/>
      <c r="ED67" s="9"/>
      <c r="EE67" s="9"/>
      <c r="EF67" s="9"/>
      <c r="EG67" s="9"/>
      <c r="EH67" s="9"/>
      <c r="EI67" s="9"/>
      <c r="EJ67" s="9"/>
      <c r="EK67" s="9"/>
      <c r="EL67" s="9"/>
      <c r="EM67" s="9"/>
      <c r="EN67" s="9"/>
      <c r="EO67" s="9"/>
      <c r="EP67" s="9"/>
      <c r="EQ67" s="9"/>
      <c r="ER67" s="9"/>
      <c r="ES67" s="9"/>
      <c r="ET67" s="9"/>
      <c r="EU67" s="9"/>
      <c r="EV67" s="9"/>
      <c r="EW67" s="9"/>
      <c r="EX67" s="9"/>
      <c r="EY67" s="9"/>
      <c r="EZ67" s="9"/>
      <c r="FA67" s="9"/>
      <c r="FB67" s="9"/>
      <c r="FC67" s="9"/>
      <c r="FD67" s="9"/>
      <c r="FE67" s="9"/>
      <c r="FF67" s="9"/>
      <c r="FG67" s="9"/>
      <c r="FH67" s="9"/>
      <c r="FI67" s="9"/>
    </row>
    <row r="68" spans="1:165" x14ac:dyDescent="0.2">
      <c r="A68" s="1" t="s">
        <v>488</v>
      </c>
      <c r="B68" s="1" t="s">
        <v>489</v>
      </c>
      <c r="C68" s="1" t="s">
        <v>301</v>
      </c>
      <c r="D68" s="1" t="str">
        <f>HYPERLINK("http://eros.fiehnlab.ucdavis.edu:8080/binbase-compound/bin/show/205110?db=rtx5","205110")</f>
        <v>205110</v>
      </c>
      <c r="E68" s="1" t="s">
        <v>490</v>
      </c>
      <c r="F68" s="1" t="str">
        <f>HYPERLINK("http://www.genome.ad.jp/dbget-bin/www_bget?compound+C00407","C00407")</f>
        <v>C00407</v>
      </c>
      <c r="G68" s="1" t="str">
        <f>HYPERLINK("http://pubchem.ncbi.nlm.nih.gov/summary/summary.cgi?cid=6306","6306")</f>
        <v>6306</v>
      </c>
      <c r="H68" s="1"/>
      <c r="I68" s="8">
        <v>37998</v>
      </c>
      <c r="J68" s="8">
        <v>36736</v>
      </c>
      <c r="K68" s="8">
        <v>35286</v>
      </c>
      <c r="L68" s="8">
        <v>37746</v>
      </c>
      <c r="M68" s="8">
        <v>44866</v>
      </c>
      <c r="N68" s="8">
        <v>41304</v>
      </c>
      <c r="O68" s="8">
        <v>45758</v>
      </c>
      <c r="P68" s="8">
        <v>43854</v>
      </c>
      <c r="Q68" s="8">
        <v>49707</v>
      </c>
      <c r="R68" s="8">
        <v>49872</v>
      </c>
      <c r="S68" s="8">
        <v>52009</v>
      </c>
      <c r="T68" s="8">
        <v>43359</v>
      </c>
      <c r="U68" s="8">
        <v>44194</v>
      </c>
      <c r="V68" s="8">
        <v>50911</v>
      </c>
      <c r="W68" s="8">
        <v>42124</v>
      </c>
      <c r="X68" s="8">
        <v>54223</v>
      </c>
      <c r="Y68" s="8">
        <v>45985</v>
      </c>
      <c r="Z68" s="8">
        <v>47099</v>
      </c>
      <c r="AA68" s="8">
        <v>40598</v>
      </c>
      <c r="AB68" s="8">
        <v>36135</v>
      </c>
      <c r="AC68" s="8">
        <v>36834</v>
      </c>
      <c r="AD68" s="8">
        <v>33027</v>
      </c>
      <c r="AE68" s="8">
        <v>37157</v>
      </c>
      <c r="AF68" s="8">
        <v>43787</v>
      </c>
      <c r="AG68" s="8">
        <v>34830</v>
      </c>
      <c r="AH68" s="8">
        <v>39772</v>
      </c>
      <c r="AI68" s="8">
        <v>36734</v>
      </c>
      <c r="AJ68" s="8">
        <v>42546</v>
      </c>
      <c r="AK68" s="8">
        <v>38843</v>
      </c>
      <c r="AL68" s="8">
        <v>46805</v>
      </c>
      <c r="AM68" s="8">
        <v>49846</v>
      </c>
      <c r="AN68" s="8">
        <v>58988</v>
      </c>
      <c r="AO68" s="8">
        <v>45952</v>
      </c>
      <c r="AP68" s="8">
        <v>53625</v>
      </c>
      <c r="AQ68" s="8">
        <v>57723</v>
      </c>
      <c r="AR68" s="8">
        <v>57516</v>
      </c>
      <c r="AS68" s="8">
        <v>51841</v>
      </c>
      <c r="AT68" s="8">
        <v>54898</v>
      </c>
      <c r="AU68" s="8">
        <v>51887</v>
      </c>
      <c r="AV68" s="8">
        <v>51295</v>
      </c>
      <c r="AW68" s="8">
        <v>56265</v>
      </c>
      <c r="AX68" s="8">
        <v>52415</v>
      </c>
      <c r="AY68" s="8">
        <v>33744</v>
      </c>
      <c r="AZ68" s="8">
        <v>47390</v>
      </c>
      <c r="BA68" s="8">
        <v>42414</v>
      </c>
      <c r="BB68" s="8">
        <v>41594</v>
      </c>
      <c r="BC68" s="8">
        <v>43221</v>
      </c>
      <c r="BD68" s="8">
        <v>38726</v>
      </c>
      <c r="BE68" s="8">
        <v>38525</v>
      </c>
      <c r="BF68" s="8">
        <v>40776</v>
      </c>
      <c r="BG68" s="8">
        <v>34604</v>
      </c>
      <c r="BH68" s="8">
        <v>41096</v>
      </c>
      <c r="BI68" s="8">
        <v>42872</v>
      </c>
      <c r="BJ68" s="8">
        <v>40926</v>
      </c>
      <c r="BK68" s="8">
        <v>54910</v>
      </c>
      <c r="BL68" s="8">
        <v>49832</v>
      </c>
      <c r="BM68" s="8">
        <v>50084</v>
      </c>
      <c r="BN68" s="8">
        <v>56905</v>
      </c>
      <c r="BO68" s="8">
        <v>58177</v>
      </c>
      <c r="BP68" s="8">
        <v>57688</v>
      </c>
      <c r="BQ68" s="8">
        <v>55583</v>
      </c>
      <c r="BR68" s="8">
        <v>53894</v>
      </c>
      <c r="BS68" s="8">
        <v>54038</v>
      </c>
      <c r="BT68" s="8">
        <v>55163</v>
      </c>
      <c r="BU68" s="8">
        <v>54361</v>
      </c>
      <c r="BV68" s="8">
        <v>54452</v>
      </c>
      <c r="BW68" s="8">
        <v>39934</v>
      </c>
      <c r="BX68" s="8">
        <v>35982</v>
      </c>
      <c r="BY68" s="8">
        <v>35714</v>
      </c>
      <c r="BZ68" s="8">
        <v>38605</v>
      </c>
      <c r="CA68" s="8">
        <v>39239</v>
      </c>
      <c r="CB68" s="8">
        <v>46095</v>
      </c>
      <c r="CC68" s="8">
        <v>48006</v>
      </c>
      <c r="CD68" s="8">
        <v>40951</v>
      </c>
      <c r="CE68" s="8">
        <v>41555</v>
      </c>
      <c r="CF68" s="8">
        <v>37902</v>
      </c>
      <c r="CG68" s="8">
        <v>39425</v>
      </c>
      <c r="CH68" s="8">
        <v>43586</v>
      </c>
      <c r="CJ68" s="9"/>
      <c r="CK68" s="9"/>
      <c r="CL68" s="9"/>
      <c r="CM68" s="9"/>
      <c r="CN68" s="9"/>
      <c r="CO68" s="9"/>
      <c r="CP68" s="9"/>
      <c r="CQ68" s="9"/>
      <c r="CR68" s="9"/>
      <c r="CS68" s="9"/>
      <c r="CT68" s="9"/>
      <c r="CU68" s="9"/>
      <c r="CV68" s="9"/>
      <c r="CW68" s="9"/>
      <c r="CX68" s="9"/>
      <c r="CY68" s="9"/>
      <c r="CZ68" s="9"/>
      <c r="DA68" s="9"/>
      <c r="DB68" s="9"/>
      <c r="DC68" s="9"/>
      <c r="DD68" s="9"/>
      <c r="DE68" s="9"/>
      <c r="DF68" s="9"/>
      <c r="DG68" s="9"/>
      <c r="DH68" s="9"/>
      <c r="DI68" s="9"/>
      <c r="DJ68" s="9"/>
      <c r="DK68" s="9"/>
      <c r="DL68" s="9"/>
      <c r="DM68" s="9"/>
      <c r="DN68" s="9"/>
      <c r="DO68" s="9"/>
      <c r="DP68" s="9"/>
      <c r="DQ68" s="9"/>
      <c r="DR68" s="9"/>
      <c r="DS68" s="9"/>
      <c r="DT68" s="9"/>
      <c r="DU68" s="9"/>
      <c r="DV68" s="9"/>
      <c r="DW68" s="9"/>
      <c r="DX68" s="9"/>
      <c r="DY68" s="9"/>
      <c r="DZ68" s="9"/>
      <c r="EA68" s="9"/>
      <c r="EB68" s="9"/>
      <c r="EC68" s="9"/>
      <c r="ED68" s="9"/>
      <c r="EE68" s="9"/>
      <c r="EF68" s="9"/>
      <c r="EG68" s="9"/>
      <c r="EH68" s="9"/>
      <c r="EI68" s="9"/>
      <c r="EJ68" s="9"/>
      <c r="EK68" s="9"/>
      <c r="EL68" s="9"/>
      <c r="EM68" s="9"/>
      <c r="EN68" s="9"/>
      <c r="EO68" s="9"/>
      <c r="EP68" s="9"/>
      <c r="EQ68" s="9"/>
      <c r="ER68" s="9"/>
      <c r="ES68" s="9"/>
      <c r="ET68" s="9"/>
      <c r="EU68" s="9"/>
      <c r="EV68" s="9"/>
      <c r="EW68" s="9"/>
      <c r="EX68" s="9"/>
      <c r="EY68" s="9"/>
      <c r="EZ68" s="9"/>
      <c r="FA68" s="9"/>
      <c r="FB68" s="9"/>
      <c r="FC68" s="9"/>
      <c r="FD68" s="9"/>
      <c r="FE68" s="9"/>
      <c r="FF68" s="9"/>
      <c r="FG68" s="9"/>
      <c r="FH68" s="9"/>
      <c r="FI68" s="9"/>
    </row>
    <row r="69" spans="1:165" x14ac:dyDescent="0.2">
      <c r="A69" s="1" t="s">
        <v>495</v>
      </c>
      <c r="B69" s="1" t="s">
        <v>496</v>
      </c>
      <c r="C69" s="1" t="s">
        <v>497</v>
      </c>
      <c r="D69" s="1" t="str">
        <f>HYPERLINK("http://eros.fiehnlab.ucdavis.edu:8080/binbase-compound/bin/show/200698?db=rtx5","200698")</f>
        <v>200698</v>
      </c>
      <c r="E69" s="1" t="s">
        <v>498</v>
      </c>
      <c r="F69" s="1" t="str">
        <f>HYPERLINK("http://www.genome.ad.jp/dbget-bin/www_bget?compound+C03546","C03546")</f>
        <v>C03546</v>
      </c>
      <c r="G69" s="1" t="str">
        <f>HYPERLINK("http://pubchem.ncbi.nlm.nih.gov/summary/summary.cgi?cid=440043","440043")</f>
        <v>440043</v>
      </c>
      <c r="H69" s="1"/>
      <c r="I69" s="8">
        <v>369</v>
      </c>
      <c r="J69" s="8">
        <v>343</v>
      </c>
      <c r="K69" s="8">
        <v>319</v>
      </c>
      <c r="L69" s="8">
        <v>400</v>
      </c>
      <c r="M69" s="8">
        <v>368</v>
      </c>
      <c r="N69" s="8">
        <v>450</v>
      </c>
      <c r="O69" s="8">
        <v>278</v>
      </c>
      <c r="P69" s="8">
        <v>334</v>
      </c>
      <c r="Q69" s="8">
        <v>283</v>
      </c>
      <c r="R69" s="8">
        <v>368</v>
      </c>
      <c r="S69" s="8">
        <v>493</v>
      </c>
      <c r="T69" s="8">
        <v>395</v>
      </c>
      <c r="U69" s="8">
        <v>322</v>
      </c>
      <c r="V69" s="8">
        <v>313</v>
      </c>
      <c r="W69" s="8">
        <v>286</v>
      </c>
      <c r="X69" s="8">
        <v>537</v>
      </c>
      <c r="Y69" s="8">
        <v>311</v>
      </c>
      <c r="Z69" s="8">
        <v>412</v>
      </c>
      <c r="AA69" s="8">
        <v>136</v>
      </c>
      <c r="AB69" s="8">
        <v>442</v>
      </c>
      <c r="AC69" s="8">
        <v>1311</v>
      </c>
      <c r="AD69" s="8">
        <v>323</v>
      </c>
      <c r="AE69" s="8">
        <v>661</v>
      </c>
      <c r="AF69" s="8">
        <v>300</v>
      </c>
      <c r="AG69" s="8">
        <v>344</v>
      </c>
      <c r="AH69" s="8">
        <v>199</v>
      </c>
      <c r="AI69" s="8">
        <v>356</v>
      </c>
      <c r="AJ69" s="8">
        <v>391</v>
      </c>
      <c r="AK69" s="8">
        <v>270</v>
      </c>
      <c r="AL69" s="8">
        <v>495</v>
      </c>
      <c r="AM69" s="8">
        <v>594</v>
      </c>
      <c r="AN69" s="8">
        <v>270</v>
      </c>
      <c r="AO69" s="8">
        <v>342</v>
      </c>
      <c r="AP69" s="8">
        <v>443</v>
      </c>
      <c r="AQ69" s="8">
        <v>374</v>
      </c>
      <c r="AR69" s="8">
        <v>402</v>
      </c>
      <c r="AS69" s="8">
        <v>386</v>
      </c>
      <c r="AT69" s="8">
        <v>331</v>
      </c>
      <c r="AU69" s="8">
        <v>285</v>
      </c>
      <c r="AV69" s="8">
        <v>297</v>
      </c>
      <c r="AW69" s="8">
        <v>370</v>
      </c>
      <c r="AX69" s="8">
        <v>390</v>
      </c>
      <c r="AY69" s="8">
        <v>534</v>
      </c>
      <c r="AZ69" s="8">
        <v>796</v>
      </c>
      <c r="BA69" s="8">
        <v>347</v>
      </c>
      <c r="BB69" s="8">
        <v>488</v>
      </c>
      <c r="BC69" s="8">
        <v>868</v>
      </c>
      <c r="BD69" s="8">
        <v>684</v>
      </c>
      <c r="BE69" s="8">
        <v>333</v>
      </c>
      <c r="BF69" s="8">
        <v>311</v>
      </c>
      <c r="BG69" s="8">
        <v>252</v>
      </c>
      <c r="BH69" s="8">
        <v>209</v>
      </c>
      <c r="BI69" s="8">
        <v>261</v>
      </c>
      <c r="BJ69" s="8">
        <v>317</v>
      </c>
      <c r="BK69" s="8">
        <v>379</v>
      </c>
      <c r="BL69" s="8">
        <v>344</v>
      </c>
      <c r="BM69" s="8">
        <v>234</v>
      </c>
      <c r="BN69" s="8">
        <v>350</v>
      </c>
      <c r="BO69" s="8">
        <v>441</v>
      </c>
      <c r="BP69" s="8">
        <v>407</v>
      </c>
      <c r="BQ69" s="8">
        <v>370</v>
      </c>
      <c r="BR69" s="8">
        <v>337</v>
      </c>
      <c r="BS69" s="8">
        <v>344</v>
      </c>
      <c r="BT69" s="8">
        <v>325</v>
      </c>
      <c r="BU69" s="8">
        <v>281</v>
      </c>
      <c r="BV69" s="8">
        <v>423</v>
      </c>
      <c r="BW69" s="8">
        <v>538</v>
      </c>
      <c r="BX69" s="8">
        <v>358</v>
      </c>
      <c r="BY69" s="8">
        <v>559</v>
      </c>
      <c r="BZ69" s="8">
        <v>355</v>
      </c>
      <c r="CA69" s="8">
        <v>567</v>
      </c>
      <c r="CB69" s="8">
        <v>511</v>
      </c>
      <c r="CC69" s="8">
        <v>275</v>
      </c>
      <c r="CD69" s="8">
        <v>383</v>
      </c>
      <c r="CE69" s="8">
        <v>353</v>
      </c>
      <c r="CF69" s="8">
        <v>335</v>
      </c>
      <c r="CG69" s="8">
        <v>412</v>
      </c>
      <c r="CH69" s="8">
        <v>337</v>
      </c>
      <c r="CJ69" s="9"/>
      <c r="CK69" s="9"/>
      <c r="CL69" s="9"/>
      <c r="CM69" s="9"/>
      <c r="CN69" s="9"/>
      <c r="CO69" s="9"/>
      <c r="CP69" s="9"/>
      <c r="CQ69" s="9"/>
      <c r="CR69" s="9"/>
      <c r="CS69" s="9"/>
      <c r="CT69" s="9"/>
      <c r="CU69" s="9"/>
      <c r="CV69" s="9"/>
      <c r="CW69" s="9"/>
      <c r="CX69" s="9"/>
      <c r="CY69" s="9"/>
      <c r="CZ69" s="9"/>
      <c r="DA69" s="9"/>
      <c r="DB69" s="9"/>
      <c r="DC69" s="9"/>
      <c r="DD69" s="9"/>
      <c r="DE69" s="9"/>
      <c r="DF69" s="9"/>
      <c r="DG69" s="9"/>
      <c r="DH69" s="9"/>
      <c r="DI69" s="9"/>
      <c r="DJ69" s="9"/>
      <c r="DK69" s="9"/>
      <c r="DL69" s="9"/>
      <c r="DM69" s="9"/>
      <c r="DN69" s="9"/>
      <c r="DO69" s="9"/>
      <c r="DP69" s="9"/>
      <c r="DQ69" s="9"/>
      <c r="DR69" s="9"/>
      <c r="DS69" s="9"/>
      <c r="DT69" s="9"/>
      <c r="DU69" s="9"/>
      <c r="DV69" s="9"/>
      <c r="DW69" s="9"/>
      <c r="DX69" s="9"/>
      <c r="DY69" s="9"/>
      <c r="DZ69" s="9"/>
      <c r="EA69" s="9"/>
      <c r="EB69" s="9"/>
      <c r="EC69" s="9"/>
      <c r="ED69" s="9"/>
      <c r="EE69" s="9"/>
      <c r="EF69" s="9"/>
      <c r="EG69" s="9"/>
      <c r="EH69" s="9"/>
      <c r="EI69" s="9"/>
      <c r="EJ69" s="9"/>
      <c r="EK69" s="9"/>
      <c r="EL69" s="9"/>
      <c r="EM69" s="9"/>
      <c r="EN69" s="9"/>
      <c r="EO69" s="9"/>
      <c r="EP69" s="9"/>
      <c r="EQ69" s="9"/>
      <c r="ER69" s="9"/>
      <c r="ES69" s="9"/>
      <c r="ET69" s="9"/>
      <c r="EU69" s="9"/>
      <c r="EV69" s="9"/>
      <c r="EW69" s="9"/>
      <c r="EX69" s="9"/>
      <c r="EY69" s="9"/>
      <c r="EZ69" s="9"/>
      <c r="FA69" s="9"/>
      <c r="FB69" s="9"/>
      <c r="FC69" s="9"/>
      <c r="FD69" s="9"/>
      <c r="FE69" s="9"/>
      <c r="FF69" s="9"/>
      <c r="FG69" s="9"/>
      <c r="FH69" s="9"/>
      <c r="FI69" s="9"/>
    </row>
    <row r="70" spans="1:165" x14ac:dyDescent="0.2">
      <c r="A70" s="1" t="s">
        <v>491</v>
      </c>
      <c r="B70" s="1" t="s">
        <v>492</v>
      </c>
      <c r="C70" s="1" t="s">
        <v>493</v>
      </c>
      <c r="D70" s="1" t="str">
        <f>HYPERLINK("http://eros.fiehnlab.ucdavis.edu:8080/binbase-compound/bin/show/199164?db=rtx5","199164")</f>
        <v>199164</v>
      </c>
      <c r="E70" s="1" t="s">
        <v>494</v>
      </c>
      <c r="F70" s="1" t="str">
        <f>HYPERLINK("http://www.genome.ad.jp/dbget-bin/www_bget?compound+C00137","C00137")</f>
        <v>C00137</v>
      </c>
      <c r="G70" s="1" t="str">
        <f>HYPERLINK("http://pubchem.ncbi.nlm.nih.gov/summary/summary.cgi?cid=892","892")</f>
        <v>892</v>
      </c>
      <c r="H70" s="1"/>
      <c r="I70" s="8">
        <v>1238</v>
      </c>
      <c r="J70" s="8">
        <v>1162</v>
      </c>
      <c r="K70" s="8">
        <v>1184</v>
      </c>
      <c r="L70" s="8">
        <v>1668</v>
      </c>
      <c r="M70" s="8">
        <v>1076</v>
      </c>
      <c r="N70" s="8">
        <v>1358</v>
      </c>
      <c r="O70" s="8">
        <v>1730</v>
      </c>
      <c r="P70" s="8">
        <v>1150</v>
      </c>
      <c r="Q70" s="8">
        <v>1328</v>
      </c>
      <c r="R70" s="8">
        <v>1229</v>
      </c>
      <c r="S70" s="8">
        <v>1217</v>
      </c>
      <c r="T70" s="8">
        <v>1044</v>
      </c>
      <c r="U70" s="8">
        <v>1152</v>
      </c>
      <c r="V70" s="8">
        <v>1329</v>
      </c>
      <c r="W70" s="8">
        <v>1397</v>
      </c>
      <c r="X70" s="8">
        <v>1292</v>
      </c>
      <c r="Y70" s="8">
        <v>1177</v>
      </c>
      <c r="Z70" s="8">
        <v>1214</v>
      </c>
      <c r="AA70" s="8">
        <v>2616</v>
      </c>
      <c r="AB70" s="8">
        <v>1346</v>
      </c>
      <c r="AC70" s="8">
        <v>1413</v>
      </c>
      <c r="AD70" s="8">
        <v>1330</v>
      </c>
      <c r="AE70" s="8">
        <v>1509</v>
      </c>
      <c r="AF70" s="8">
        <v>2090</v>
      </c>
      <c r="AG70" s="8">
        <v>925</v>
      </c>
      <c r="AH70" s="8">
        <v>994</v>
      </c>
      <c r="AI70" s="8">
        <v>911</v>
      </c>
      <c r="AJ70" s="8">
        <v>1169</v>
      </c>
      <c r="AK70" s="8">
        <v>1041</v>
      </c>
      <c r="AL70" s="8">
        <v>1299</v>
      </c>
      <c r="AM70" s="8">
        <v>1522</v>
      </c>
      <c r="AN70" s="8">
        <v>1904</v>
      </c>
      <c r="AO70" s="8">
        <v>1295</v>
      </c>
      <c r="AP70" s="8">
        <v>2179</v>
      </c>
      <c r="AQ70" s="8">
        <v>2015</v>
      </c>
      <c r="AR70" s="8">
        <v>2730</v>
      </c>
      <c r="AS70" s="8">
        <v>1562</v>
      </c>
      <c r="AT70" s="8">
        <v>1602</v>
      </c>
      <c r="AU70" s="8">
        <v>1736</v>
      </c>
      <c r="AV70" s="8">
        <v>1766</v>
      </c>
      <c r="AW70" s="8">
        <v>1956</v>
      </c>
      <c r="AX70" s="8">
        <v>1313</v>
      </c>
      <c r="AY70" s="8">
        <v>1726</v>
      </c>
      <c r="AZ70" s="8">
        <v>2437</v>
      </c>
      <c r="BA70" s="8">
        <v>2213</v>
      </c>
      <c r="BB70" s="8">
        <v>2006</v>
      </c>
      <c r="BC70" s="8">
        <v>1887</v>
      </c>
      <c r="BD70" s="8">
        <v>2081</v>
      </c>
      <c r="BE70" s="8">
        <v>998</v>
      </c>
      <c r="BF70" s="8">
        <v>1174</v>
      </c>
      <c r="BG70" s="8">
        <v>982</v>
      </c>
      <c r="BH70" s="8">
        <v>1508</v>
      </c>
      <c r="BI70" s="8">
        <v>960</v>
      </c>
      <c r="BJ70" s="8">
        <v>881</v>
      </c>
      <c r="BK70" s="8">
        <v>1571</v>
      </c>
      <c r="BL70" s="8">
        <v>1233</v>
      </c>
      <c r="BM70" s="8">
        <v>1408</v>
      </c>
      <c r="BN70" s="8">
        <v>2829</v>
      </c>
      <c r="BO70" s="8">
        <v>1682</v>
      </c>
      <c r="BP70" s="8">
        <v>1307</v>
      </c>
      <c r="BQ70" s="8">
        <v>1656</v>
      </c>
      <c r="BR70" s="8">
        <v>1685</v>
      </c>
      <c r="BS70" s="8">
        <v>1524</v>
      </c>
      <c r="BT70" s="8">
        <v>1372</v>
      </c>
      <c r="BU70" s="8">
        <v>1660</v>
      </c>
      <c r="BV70" s="8">
        <v>1272</v>
      </c>
      <c r="BW70" s="8">
        <v>1662</v>
      </c>
      <c r="BX70" s="8">
        <v>1385</v>
      </c>
      <c r="BY70" s="8">
        <v>1406</v>
      </c>
      <c r="BZ70" s="8">
        <v>1658</v>
      </c>
      <c r="CA70" s="8">
        <v>1611</v>
      </c>
      <c r="CB70" s="8">
        <v>2574</v>
      </c>
      <c r="CC70" s="8">
        <v>1697</v>
      </c>
      <c r="CD70" s="8">
        <v>1163</v>
      </c>
      <c r="CE70" s="8">
        <v>1096</v>
      </c>
      <c r="CF70" s="8">
        <v>1127</v>
      </c>
      <c r="CG70" s="8">
        <v>1024</v>
      </c>
      <c r="CH70" s="8">
        <v>1381</v>
      </c>
      <c r="CJ70" s="9"/>
      <c r="CK70" s="9"/>
      <c r="CL70" s="9"/>
      <c r="CM70" s="9"/>
      <c r="CN70" s="9"/>
      <c r="CO70" s="9"/>
      <c r="CP70" s="9"/>
      <c r="CQ70" s="9"/>
      <c r="CR70" s="9"/>
      <c r="CS70" s="9"/>
      <c r="CT70" s="9"/>
      <c r="CU70" s="9"/>
      <c r="CV70" s="9"/>
      <c r="CW70" s="9"/>
      <c r="CX70" s="9"/>
      <c r="CY70" s="9"/>
      <c r="CZ70" s="9"/>
      <c r="DA70" s="9"/>
      <c r="DB70" s="9"/>
      <c r="DC70" s="9"/>
      <c r="DD70" s="9"/>
      <c r="DE70" s="9"/>
      <c r="DF70" s="9"/>
      <c r="DG70" s="9"/>
      <c r="DH70" s="9"/>
      <c r="DI70" s="9"/>
      <c r="DJ70" s="9"/>
      <c r="DK70" s="9"/>
      <c r="DL70" s="9"/>
      <c r="DM70" s="9"/>
      <c r="DN70" s="9"/>
      <c r="DO70" s="9"/>
      <c r="DP70" s="9"/>
      <c r="DQ70" s="9"/>
      <c r="DR70" s="9"/>
      <c r="DS70" s="9"/>
      <c r="DT70" s="9"/>
      <c r="DU70" s="9"/>
      <c r="DV70" s="9"/>
      <c r="DW70" s="9"/>
      <c r="DX70" s="9"/>
      <c r="DY70" s="9"/>
      <c r="DZ70" s="9"/>
      <c r="EA70" s="9"/>
      <c r="EB70" s="9"/>
      <c r="EC70" s="9"/>
      <c r="ED70" s="9"/>
      <c r="EE70" s="9"/>
      <c r="EF70" s="9"/>
      <c r="EG70" s="9"/>
      <c r="EH70" s="9"/>
      <c r="EI70" s="9"/>
      <c r="EJ70" s="9"/>
      <c r="EK70" s="9"/>
      <c r="EL70" s="9"/>
      <c r="EM70" s="9"/>
      <c r="EN70" s="9"/>
      <c r="EO70" s="9"/>
      <c r="EP70" s="9"/>
      <c r="EQ70" s="9"/>
      <c r="ER70" s="9"/>
      <c r="ES70" s="9"/>
      <c r="ET70" s="9"/>
      <c r="EU70" s="9"/>
      <c r="EV70" s="9"/>
      <c r="EW70" s="9"/>
      <c r="EX70" s="9"/>
      <c r="EY70" s="9"/>
      <c r="EZ70" s="9"/>
      <c r="FA70" s="9"/>
      <c r="FB70" s="9"/>
      <c r="FC70" s="9"/>
      <c r="FD70" s="9"/>
      <c r="FE70" s="9"/>
      <c r="FF70" s="9"/>
      <c r="FG70" s="9"/>
      <c r="FH70" s="9"/>
      <c r="FI70" s="9"/>
    </row>
    <row r="71" spans="1:165" x14ac:dyDescent="0.2">
      <c r="A71" s="1" t="s">
        <v>499</v>
      </c>
      <c r="B71" s="1" t="s">
        <v>500</v>
      </c>
      <c r="C71" s="1" t="s">
        <v>371</v>
      </c>
      <c r="D71" s="1" t="str">
        <f>HYPERLINK("http://eros.fiehnlab.ucdavis.edu:8080/binbase-compound/bin/show/199606?db=rtx5","199606")</f>
        <v>199606</v>
      </c>
      <c r="E71" s="1" t="s">
        <v>501</v>
      </c>
      <c r="F71" s="1" t="str">
        <f>HYPERLINK("http://www.genome.ad.jp/dbget-bin/www_bget?compound+C00294","C00294")</f>
        <v>C00294</v>
      </c>
      <c r="G71" s="1" t="str">
        <f>HYPERLINK("http://pubchem.ncbi.nlm.nih.gov/summary/summary.cgi?cid=6021","6021")</f>
        <v>6021</v>
      </c>
      <c r="H71" s="1"/>
      <c r="I71" s="8">
        <v>1568</v>
      </c>
      <c r="J71" s="8">
        <v>1406</v>
      </c>
      <c r="K71" s="8">
        <v>1579</v>
      </c>
      <c r="L71" s="8">
        <v>1383</v>
      </c>
      <c r="M71" s="8">
        <v>1580</v>
      </c>
      <c r="N71" s="8">
        <v>934</v>
      </c>
      <c r="O71" s="8">
        <v>547</v>
      </c>
      <c r="P71" s="8">
        <v>613</v>
      </c>
      <c r="Q71" s="8">
        <v>492</v>
      </c>
      <c r="R71" s="8">
        <v>617</v>
      </c>
      <c r="S71" s="8">
        <v>585</v>
      </c>
      <c r="T71" s="8">
        <v>521</v>
      </c>
      <c r="U71" s="8">
        <v>477</v>
      </c>
      <c r="V71" s="8">
        <v>511</v>
      </c>
      <c r="W71" s="8">
        <v>384</v>
      </c>
      <c r="X71" s="8">
        <v>399</v>
      </c>
      <c r="Y71" s="8">
        <v>463</v>
      </c>
      <c r="Z71" s="8">
        <v>509</v>
      </c>
      <c r="AA71" s="8">
        <v>398</v>
      </c>
      <c r="AB71" s="8">
        <v>578</v>
      </c>
      <c r="AC71" s="8">
        <v>551</v>
      </c>
      <c r="AD71" s="8">
        <v>612</v>
      </c>
      <c r="AE71" s="8">
        <v>581</v>
      </c>
      <c r="AF71" s="8">
        <v>487</v>
      </c>
      <c r="AG71" s="8">
        <v>526</v>
      </c>
      <c r="AH71" s="8">
        <v>447</v>
      </c>
      <c r="AI71" s="8">
        <v>549</v>
      </c>
      <c r="AJ71" s="8">
        <v>530</v>
      </c>
      <c r="AK71" s="8">
        <v>434</v>
      </c>
      <c r="AL71" s="8">
        <v>653</v>
      </c>
      <c r="AM71" s="8">
        <v>603</v>
      </c>
      <c r="AN71" s="8">
        <v>595</v>
      </c>
      <c r="AO71" s="8">
        <v>409</v>
      </c>
      <c r="AP71" s="8">
        <v>523</v>
      </c>
      <c r="AQ71" s="8">
        <v>487</v>
      </c>
      <c r="AR71" s="8">
        <v>395</v>
      </c>
      <c r="AS71" s="8">
        <v>419</v>
      </c>
      <c r="AT71" s="8">
        <v>449</v>
      </c>
      <c r="AU71" s="8">
        <v>399</v>
      </c>
      <c r="AV71" s="8">
        <v>490</v>
      </c>
      <c r="AW71" s="8">
        <v>411</v>
      </c>
      <c r="AX71" s="8">
        <v>424</v>
      </c>
      <c r="AY71" s="8">
        <v>529</v>
      </c>
      <c r="AZ71" s="8">
        <v>460</v>
      </c>
      <c r="BA71" s="8">
        <v>478</v>
      </c>
      <c r="BB71" s="8">
        <v>508</v>
      </c>
      <c r="BC71" s="8">
        <v>562</v>
      </c>
      <c r="BD71" s="8">
        <v>621</v>
      </c>
      <c r="BE71" s="8">
        <v>674</v>
      </c>
      <c r="BF71" s="8">
        <v>345</v>
      </c>
      <c r="BG71" s="8">
        <v>487</v>
      </c>
      <c r="BH71" s="8">
        <v>359</v>
      </c>
      <c r="BI71" s="8">
        <v>453</v>
      </c>
      <c r="BJ71" s="8">
        <v>432</v>
      </c>
      <c r="BK71" s="8">
        <v>548</v>
      </c>
      <c r="BL71" s="8">
        <v>497</v>
      </c>
      <c r="BM71" s="8">
        <v>676</v>
      </c>
      <c r="BN71" s="8">
        <v>400</v>
      </c>
      <c r="BO71" s="8">
        <v>533</v>
      </c>
      <c r="BP71" s="8">
        <v>582</v>
      </c>
      <c r="BQ71" s="8">
        <v>631</v>
      </c>
      <c r="BR71" s="8">
        <v>498</v>
      </c>
      <c r="BS71" s="8">
        <v>539</v>
      </c>
      <c r="BT71" s="8">
        <v>416</v>
      </c>
      <c r="BU71" s="8">
        <v>406</v>
      </c>
      <c r="BV71" s="8">
        <v>441</v>
      </c>
      <c r="BW71" s="8">
        <v>558</v>
      </c>
      <c r="BX71" s="8">
        <v>544</v>
      </c>
      <c r="BY71" s="8">
        <v>464</v>
      </c>
      <c r="BZ71" s="8">
        <v>559</v>
      </c>
      <c r="CA71" s="8">
        <v>470</v>
      </c>
      <c r="CB71" s="8">
        <v>452</v>
      </c>
      <c r="CC71" s="8">
        <v>396</v>
      </c>
      <c r="CD71" s="8">
        <v>838</v>
      </c>
      <c r="CE71" s="8">
        <v>494</v>
      </c>
      <c r="CF71" s="8">
        <v>393</v>
      </c>
      <c r="CG71" s="8">
        <v>581</v>
      </c>
      <c r="CH71" s="8">
        <v>388</v>
      </c>
      <c r="CJ71" s="9"/>
      <c r="CK71" s="9"/>
      <c r="CL71" s="9"/>
      <c r="CM71" s="9"/>
      <c r="CN71" s="9"/>
      <c r="CO71" s="9"/>
      <c r="CP71" s="9"/>
      <c r="CQ71" s="9"/>
      <c r="CR71" s="9"/>
      <c r="CS71" s="9"/>
      <c r="CT71" s="9"/>
      <c r="CU71" s="9"/>
      <c r="CV71" s="9"/>
      <c r="CW71" s="9"/>
      <c r="CX71" s="9"/>
      <c r="CY71" s="9"/>
      <c r="CZ71" s="9"/>
      <c r="DA71" s="9"/>
      <c r="DB71" s="9"/>
      <c r="DC71" s="9"/>
      <c r="DD71" s="9"/>
      <c r="DE71" s="9"/>
      <c r="DF71" s="9"/>
      <c r="DG71" s="9"/>
      <c r="DH71" s="9"/>
      <c r="DI71" s="9"/>
      <c r="DJ71" s="9"/>
      <c r="DK71" s="9"/>
      <c r="DL71" s="9"/>
      <c r="DM71" s="9"/>
      <c r="DN71" s="9"/>
      <c r="DO71" s="9"/>
      <c r="DP71" s="9"/>
      <c r="DQ71" s="9"/>
      <c r="DR71" s="9"/>
      <c r="DS71" s="9"/>
      <c r="DT71" s="9"/>
      <c r="DU71" s="9"/>
      <c r="DV71" s="9"/>
      <c r="DW71" s="9"/>
      <c r="DX71" s="9"/>
      <c r="DY71" s="9"/>
      <c r="DZ71" s="9"/>
      <c r="EA71" s="9"/>
      <c r="EB71" s="9"/>
      <c r="EC71" s="9"/>
      <c r="ED71" s="9"/>
      <c r="EE71" s="9"/>
      <c r="EF71" s="9"/>
      <c r="EG71" s="9"/>
      <c r="EH71" s="9"/>
      <c r="EI71" s="9"/>
      <c r="EJ71" s="9"/>
      <c r="EK71" s="9"/>
      <c r="EL71" s="9"/>
      <c r="EM71" s="9"/>
      <c r="EN71" s="9"/>
      <c r="EO71" s="9"/>
      <c r="EP71" s="9"/>
      <c r="EQ71" s="9"/>
      <c r="ER71" s="9"/>
      <c r="ES71" s="9"/>
      <c r="ET71" s="9"/>
      <c r="EU71" s="9"/>
      <c r="EV71" s="9"/>
      <c r="EW71" s="9"/>
      <c r="EX71" s="9"/>
      <c r="EY71" s="9"/>
      <c r="EZ71" s="9"/>
      <c r="FA71" s="9"/>
      <c r="FB71" s="9"/>
      <c r="FC71" s="9"/>
      <c r="FD71" s="9"/>
      <c r="FE71" s="9"/>
      <c r="FF71" s="9"/>
      <c r="FG71" s="9"/>
      <c r="FH71" s="9"/>
      <c r="FI71" s="9"/>
    </row>
    <row r="72" spans="1:165" x14ac:dyDescent="0.2">
      <c r="A72" s="1" t="s">
        <v>502</v>
      </c>
      <c r="B72" s="1" t="s">
        <v>503</v>
      </c>
      <c r="C72" s="1" t="s">
        <v>346</v>
      </c>
      <c r="D72" s="1" t="str">
        <f>HYPERLINK("http://eros.fiehnlab.ucdavis.edu:8080/binbase-compound/bin/show/199232?db=rtx5","199232")</f>
        <v>199232</v>
      </c>
      <c r="E72" s="1" t="s">
        <v>504</v>
      </c>
      <c r="F72" s="1" t="str">
        <f>HYPERLINK("http://www.genome.ad.jp/dbget-bin/www_bget?compound+n/a","n/a")</f>
        <v>n/a</v>
      </c>
      <c r="G72" s="1" t="str">
        <f>HYPERLINK("http://pubchem.ncbi.nlm.nih.gov/summary/summary.cgi?cid=193325","193325")</f>
        <v>193325</v>
      </c>
      <c r="H72" s="1"/>
      <c r="I72" s="8">
        <v>102</v>
      </c>
      <c r="J72" s="8">
        <v>133</v>
      </c>
      <c r="K72" s="8">
        <v>120</v>
      </c>
      <c r="L72" s="8">
        <v>150</v>
      </c>
      <c r="M72" s="8">
        <v>126</v>
      </c>
      <c r="N72" s="8">
        <v>106</v>
      </c>
      <c r="O72" s="8">
        <v>237</v>
      </c>
      <c r="P72" s="8">
        <v>108</v>
      </c>
      <c r="Q72" s="8">
        <v>240</v>
      </c>
      <c r="R72" s="8">
        <v>289</v>
      </c>
      <c r="S72" s="8">
        <v>267</v>
      </c>
      <c r="T72" s="8">
        <v>81</v>
      </c>
      <c r="U72" s="8">
        <v>195</v>
      </c>
      <c r="V72" s="8">
        <v>282</v>
      </c>
      <c r="W72" s="8">
        <v>209</v>
      </c>
      <c r="X72" s="8">
        <v>270</v>
      </c>
      <c r="Y72" s="8">
        <v>183</v>
      </c>
      <c r="Z72" s="8">
        <v>127</v>
      </c>
      <c r="AA72" s="8">
        <v>205</v>
      </c>
      <c r="AB72" s="8">
        <v>185</v>
      </c>
      <c r="AC72" s="8">
        <v>175</v>
      </c>
      <c r="AD72" s="8">
        <v>312</v>
      </c>
      <c r="AE72" s="8">
        <v>311</v>
      </c>
      <c r="AF72" s="8">
        <v>85</v>
      </c>
      <c r="AG72" s="8">
        <v>232</v>
      </c>
      <c r="AH72" s="8">
        <v>201</v>
      </c>
      <c r="AI72" s="8">
        <v>216</v>
      </c>
      <c r="AJ72" s="8">
        <v>54</v>
      </c>
      <c r="AK72" s="8">
        <v>188</v>
      </c>
      <c r="AL72" s="8">
        <v>282</v>
      </c>
      <c r="AM72" s="8">
        <v>156</v>
      </c>
      <c r="AN72" s="8">
        <v>326</v>
      </c>
      <c r="AO72" s="8">
        <v>273</v>
      </c>
      <c r="AP72" s="8">
        <v>142</v>
      </c>
      <c r="AQ72" s="8">
        <v>168</v>
      </c>
      <c r="AR72" s="8">
        <v>102</v>
      </c>
      <c r="AS72" s="8">
        <v>284</v>
      </c>
      <c r="AT72" s="8">
        <v>319</v>
      </c>
      <c r="AU72" s="8">
        <v>287</v>
      </c>
      <c r="AV72" s="8">
        <v>263</v>
      </c>
      <c r="AW72" s="8">
        <v>310</v>
      </c>
      <c r="AX72" s="8">
        <v>270</v>
      </c>
      <c r="AY72" s="8">
        <v>322</v>
      </c>
      <c r="AZ72" s="8">
        <v>260</v>
      </c>
      <c r="BA72" s="8">
        <v>197</v>
      </c>
      <c r="BB72" s="8">
        <v>336</v>
      </c>
      <c r="BC72" s="8">
        <v>275</v>
      </c>
      <c r="BD72" s="8">
        <v>323</v>
      </c>
      <c r="BE72" s="8">
        <v>242</v>
      </c>
      <c r="BF72" s="8">
        <v>196</v>
      </c>
      <c r="BG72" s="8">
        <v>203</v>
      </c>
      <c r="BH72" s="8">
        <v>195</v>
      </c>
      <c r="BI72" s="8">
        <v>131</v>
      </c>
      <c r="BJ72" s="8">
        <v>201</v>
      </c>
      <c r="BK72" s="8">
        <v>155</v>
      </c>
      <c r="BL72" s="8">
        <v>291</v>
      </c>
      <c r="BM72" s="8">
        <v>155</v>
      </c>
      <c r="BN72" s="8">
        <v>231</v>
      </c>
      <c r="BO72" s="8">
        <v>307</v>
      </c>
      <c r="BP72" s="8">
        <v>295</v>
      </c>
      <c r="BQ72" s="8">
        <v>314</v>
      </c>
      <c r="BR72" s="8">
        <v>209</v>
      </c>
      <c r="BS72" s="8">
        <v>257</v>
      </c>
      <c r="BT72" s="8">
        <v>59</v>
      </c>
      <c r="BU72" s="8">
        <v>224</v>
      </c>
      <c r="BV72" s="8">
        <v>97</v>
      </c>
      <c r="BW72" s="8">
        <v>222</v>
      </c>
      <c r="BX72" s="8">
        <v>106</v>
      </c>
      <c r="BY72" s="8">
        <v>217</v>
      </c>
      <c r="BZ72" s="8">
        <v>338</v>
      </c>
      <c r="CA72" s="8">
        <v>336</v>
      </c>
      <c r="CB72" s="8">
        <v>202</v>
      </c>
      <c r="CC72" s="8">
        <v>145</v>
      </c>
      <c r="CD72" s="8">
        <v>180</v>
      </c>
      <c r="CE72" s="8">
        <v>181</v>
      </c>
      <c r="CF72" s="8">
        <v>117</v>
      </c>
      <c r="CG72" s="8">
        <v>217</v>
      </c>
      <c r="CH72" s="8">
        <v>211</v>
      </c>
      <c r="CJ72" s="9"/>
      <c r="CK72" s="9"/>
      <c r="CL72" s="9"/>
      <c r="CM72" s="9"/>
      <c r="CN72" s="9"/>
      <c r="CO72" s="9"/>
      <c r="CP72" s="9"/>
      <c r="CQ72" s="9"/>
      <c r="CR72" s="9"/>
      <c r="CS72" s="9"/>
      <c r="CT72" s="9"/>
      <c r="CU72" s="9"/>
      <c r="CV72" s="9"/>
      <c r="CW72" s="9"/>
      <c r="CX72" s="9"/>
      <c r="CY72" s="9"/>
      <c r="CZ72" s="9"/>
      <c r="DA72" s="9"/>
      <c r="DB72" s="9"/>
      <c r="DC72" s="9"/>
      <c r="DD72" s="9"/>
      <c r="DE72" s="9"/>
      <c r="DF72" s="9"/>
      <c r="DG72" s="9"/>
      <c r="DH72" s="9"/>
      <c r="DI72" s="9"/>
      <c r="DJ72" s="9"/>
      <c r="DK72" s="9"/>
      <c r="DL72" s="9"/>
      <c r="DM72" s="9"/>
      <c r="DN72" s="9"/>
      <c r="DO72" s="9"/>
      <c r="DP72" s="9"/>
      <c r="DQ72" s="9"/>
      <c r="DR72" s="9"/>
      <c r="DS72" s="9"/>
      <c r="DT72" s="9"/>
      <c r="DU72" s="9"/>
      <c r="DV72" s="9"/>
      <c r="DW72" s="9"/>
      <c r="DX72" s="9"/>
      <c r="DY72" s="9"/>
      <c r="DZ72" s="9"/>
      <c r="EA72" s="9"/>
      <c r="EB72" s="9"/>
      <c r="EC72" s="9"/>
      <c r="ED72" s="9"/>
      <c r="EE72" s="9"/>
      <c r="EF72" s="9"/>
      <c r="EG72" s="9"/>
      <c r="EH72" s="9"/>
      <c r="EI72" s="9"/>
      <c r="EJ72" s="9"/>
      <c r="EK72" s="9"/>
      <c r="EL72" s="9"/>
      <c r="EM72" s="9"/>
      <c r="EN72" s="9"/>
      <c r="EO72" s="9"/>
      <c r="EP72" s="9"/>
      <c r="EQ72" s="9"/>
      <c r="ER72" s="9"/>
      <c r="ES72" s="9"/>
      <c r="ET72" s="9"/>
      <c r="EU72" s="9"/>
      <c r="EV72" s="9"/>
      <c r="EW72" s="9"/>
      <c r="EX72" s="9"/>
      <c r="EY72" s="9"/>
      <c r="EZ72" s="9"/>
      <c r="FA72" s="9"/>
      <c r="FB72" s="9"/>
      <c r="FC72" s="9"/>
      <c r="FD72" s="9"/>
      <c r="FE72" s="9"/>
      <c r="FF72" s="9"/>
      <c r="FG72" s="9"/>
      <c r="FH72" s="9"/>
      <c r="FI72" s="9"/>
    </row>
    <row r="73" spans="1:165" x14ac:dyDescent="0.2">
      <c r="A73" s="1" t="s">
        <v>505</v>
      </c>
      <c r="B73" s="1" t="s">
        <v>506</v>
      </c>
      <c r="C73" s="1" t="s">
        <v>268</v>
      </c>
      <c r="D73" s="1" t="str">
        <f>HYPERLINK("http://eros.fiehnlab.ucdavis.edu:8080/binbase-compound/bin/show/336352?db=rtx5","336352")</f>
        <v>336352</v>
      </c>
      <c r="E73" s="1" t="s">
        <v>507</v>
      </c>
      <c r="F73" s="1" t="str">
        <f>HYPERLINK("http://www.genome.ad.jp/dbget-bin/www_bget?compound+C00192","C00192")</f>
        <v>C00192</v>
      </c>
      <c r="G73" s="1" t="str">
        <f>HYPERLINK("http://pubchem.ncbi.nlm.nih.gov/summary/summary.cgi?cid=787","787")</f>
        <v>787</v>
      </c>
      <c r="H73" s="1"/>
      <c r="I73" s="8">
        <v>15776</v>
      </c>
      <c r="J73" s="8">
        <v>12617</v>
      </c>
      <c r="K73" s="8">
        <v>10861</v>
      </c>
      <c r="L73" s="8">
        <v>9962</v>
      </c>
      <c r="M73" s="8">
        <v>15029</v>
      </c>
      <c r="N73" s="8">
        <v>14893</v>
      </c>
      <c r="O73" s="8">
        <v>11736</v>
      </c>
      <c r="P73" s="8">
        <v>13652</v>
      </c>
      <c r="Q73" s="8">
        <v>14309</v>
      </c>
      <c r="R73" s="8">
        <v>15705</v>
      </c>
      <c r="S73" s="8">
        <v>18093</v>
      </c>
      <c r="T73" s="8">
        <v>9211</v>
      </c>
      <c r="U73" s="8">
        <v>9678</v>
      </c>
      <c r="V73" s="8">
        <v>12142</v>
      </c>
      <c r="W73" s="8">
        <v>12638</v>
      </c>
      <c r="X73" s="8">
        <v>14290</v>
      </c>
      <c r="Y73" s="8">
        <v>10632</v>
      </c>
      <c r="Z73" s="8">
        <v>13511</v>
      </c>
      <c r="AA73" s="8">
        <v>7751</v>
      </c>
      <c r="AB73" s="8">
        <v>11333</v>
      </c>
      <c r="AC73" s="8">
        <v>11020</v>
      </c>
      <c r="AD73" s="8">
        <v>11255</v>
      </c>
      <c r="AE73" s="8">
        <v>14016</v>
      </c>
      <c r="AF73" s="8">
        <v>317</v>
      </c>
      <c r="AG73" s="8">
        <v>8417</v>
      </c>
      <c r="AH73" s="8">
        <v>12674</v>
      </c>
      <c r="AI73" s="8">
        <v>11275</v>
      </c>
      <c r="AJ73" s="8">
        <v>14046</v>
      </c>
      <c r="AK73" s="8">
        <v>11127</v>
      </c>
      <c r="AL73" s="8">
        <v>16578</v>
      </c>
      <c r="AM73" s="8">
        <v>16934</v>
      </c>
      <c r="AN73" s="8">
        <v>16293</v>
      </c>
      <c r="AO73" s="8">
        <v>13783</v>
      </c>
      <c r="AP73" s="8">
        <v>16171</v>
      </c>
      <c r="AQ73" s="8">
        <v>14041</v>
      </c>
      <c r="AR73" s="8">
        <v>12373</v>
      </c>
      <c r="AS73" s="8">
        <v>12556</v>
      </c>
      <c r="AT73" s="8">
        <v>14396</v>
      </c>
      <c r="AU73" s="8">
        <v>12292</v>
      </c>
      <c r="AV73" s="8">
        <v>11328</v>
      </c>
      <c r="AW73" s="8">
        <v>12870</v>
      </c>
      <c r="AX73" s="8">
        <v>12372</v>
      </c>
      <c r="AY73" s="8">
        <v>13006</v>
      </c>
      <c r="AZ73" s="8">
        <v>14611</v>
      </c>
      <c r="BA73" s="8">
        <v>15422</v>
      </c>
      <c r="BB73" s="8">
        <v>16130</v>
      </c>
      <c r="BC73" s="8">
        <v>15496</v>
      </c>
      <c r="BD73" s="8">
        <v>16132</v>
      </c>
      <c r="BE73" s="8">
        <v>13613</v>
      </c>
      <c r="BF73" s="8">
        <v>12614</v>
      </c>
      <c r="BG73" s="8">
        <v>11889</v>
      </c>
      <c r="BH73" s="8">
        <v>9792</v>
      </c>
      <c r="BI73" s="8">
        <v>410</v>
      </c>
      <c r="BJ73" s="8">
        <v>12753</v>
      </c>
      <c r="BK73" s="8">
        <v>14824</v>
      </c>
      <c r="BL73" s="8">
        <v>13215</v>
      </c>
      <c r="BM73" s="8">
        <v>13734</v>
      </c>
      <c r="BN73" s="8">
        <v>10355</v>
      </c>
      <c r="BO73" s="8">
        <v>12975</v>
      </c>
      <c r="BP73" s="8">
        <v>17100</v>
      </c>
      <c r="BQ73" s="8">
        <v>14306</v>
      </c>
      <c r="BR73" s="8">
        <v>13221</v>
      </c>
      <c r="BS73" s="8">
        <v>12825</v>
      </c>
      <c r="BT73" s="8">
        <v>12407</v>
      </c>
      <c r="BU73" s="8">
        <v>11315</v>
      </c>
      <c r="BV73" s="8">
        <v>13495</v>
      </c>
      <c r="BW73" s="8">
        <v>13700</v>
      </c>
      <c r="BX73" s="8">
        <v>10931</v>
      </c>
      <c r="BY73" s="8">
        <v>10979</v>
      </c>
      <c r="BZ73" s="8">
        <v>12866</v>
      </c>
      <c r="CA73" s="8">
        <v>13368</v>
      </c>
      <c r="CB73" s="8">
        <v>10173</v>
      </c>
      <c r="CC73" s="8">
        <v>13086</v>
      </c>
      <c r="CD73" s="8">
        <v>10940</v>
      </c>
      <c r="CE73" s="8">
        <v>13101</v>
      </c>
      <c r="CF73" s="8">
        <v>8805</v>
      </c>
      <c r="CG73" s="8">
        <v>11206</v>
      </c>
      <c r="CH73" s="8">
        <v>12606</v>
      </c>
      <c r="CJ73" s="9"/>
      <c r="CK73" s="9"/>
      <c r="CL73" s="9"/>
      <c r="CM73" s="9"/>
      <c r="CN73" s="9"/>
      <c r="CO73" s="9"/>
      <c r="CP73" s="9"/>
      <c r="CQ73" s="9"/>
      <c r="CR73" s="9"/>
      <c r="CS73" s="9"/>
      <c r="CT73" s="9"/>
      <c r="CU73" s="9"/>
      <c r="CV73" s="9"/>
      <c r="CW73" s="9"/>
      <c r="CX73" s="9"/>
      <c r="CY73" s="9"/>
      <c r="CZ73" s="9"/>
      <c r="DA73" s="9"/>
      <c r="DB73" s="9"/>
      <c r="DC73" s="9"/>
      <c r="DD73" s="9"/>
      <c r="DE73" s="9"/>
      <c r="DF73" s="9"/>
      <c r="DG73" s="9"/>
      <c r="DH73" s="9"/>
      <c r="DI73" s="9"/>
      <c r="DJ73" s="9"/>
      <c r="DK73" s="9"/>
      <c r="DL73" s="9"/>
      <c r="DM73" s="9"/>
      <c r="DN73" s="9"/>
      <c r="DO73" s="9"/>
      <c r="DP73" s="9"/>
      <c r="DQ73" s="9"/>
      <c r="DR73" s="9"/>
      <c r="DS73" s="9"/>
      <c r="DT73" s="9"/>
      <c r="DU73" s="9"/>
      <c r="DV73" s="9"/>
      <c r="DW73" s="9"/>
      <c r="DX73" s="9"/>
      <c r="DY73" s="9"/>
      <c r="DZ73" s="9"/>
      <c r="EA73" s="9"/>
      <c r="EB73" s="9"/>
      <c r="EC73" s="9"/>
      <c r="ED73" s="9"/>
      <c r="EE73" s="9"/>
      <c r="EF73" s="9"/>
      <c r="EG73" s="9"/>
      <c r="EH73" s="9"/>
      <c r="EI73" s="9"/>
      <c r="EJ73" s="9"/>
      <c r="EK73" s="9"/>
      <c r="EL73" s="9"/>
      <c r="EM73" s="9"/>
      <c r="EN73" s="9"/>
      <c r="EO73" s="9"/>
      <c r="EP73" s="9"/>
      <c r="EQ73" s="9"/>
      <c r="ER73" s="9"/>
      <c r="ES73" s="9"/>
      <c r="ET73" s="9"/>
      <c r="EU73" s="9"/>
      <c r="EV73" s="9"/>
      <c r="EW73" s="9"/>
      <c r="EX73" s="9"/>
      <c r="EY73" s="9"/>
      <c r="EZ73" s="9"/>
      <c r="FA73" s="9"/>
      <c r="FB73" s="9"/>
      <c r="FC73" s="9"/>
      <c r="FD73" s="9"/>
      <c r="FE73" s="9"/>
      <c r="FF73" s="9"/>
      <c r="FG73" s="9"/>
      <c r="FH73" s="9"/>
      <c r="FI73" s="9"/>
    </row>
    <row r="74" spans="1:165" x14ac:dyDescent="0.2">
      <c r="A74" s="1" t="s">
        <v>508</v>
      </c>
      <c r="B74" s="1" t="s">
        <v>509</v>
      </c>
      <c r="C74" s="1" t="s">
        <v>398</v>
      </c>
      <c r="D74" s="1" t="str">
        <f>HYPERLINK("http://eros.fiehnlab.ucdavis.edu:8080/binbase-compound/bin/show/227861?db=rtx5","227861")</f>
        <v>227861</v>
      </c>
      <c r="E74" s="1" t="s">
        <v>510</v>
      </c>
      <c r="F74" s="1" t="str">
        <f>HYPERLINK("http://www.genome.ad.jp/dbget-bin/www_bget?compound+C00263","C00263")</f>
        <v>C00263</v>
      </c>
      <c r="G74" s="1" t="str">
        <f>HYPERLINK("http://pubchem.ncbi.nlm.nih.gov/summary/summary.cgi?cid=12647","12647")</f>
        <v>12647</v>
      </c>
      <c r="H74" s="1"/>
      <c r="I74" s="8">
        <v>168</v>
      </c>
      <c r="J74" s="8">
        <v>263</v>
      </c>
      <c r="K74" s="8">
        <v>187</v>
      </c>
      <c r="L74" s="8">
        <v>160</v>
      </c>
      <c r="M74" s="8">
        <v>304</v>
      </c>
      <c r="N74" s="8">
        <v>401</v>
      </c>
      <c r="O74" s="8">
        <v>330</v>
      </c>
      <c r="P74" s="8">
        <v>396</v>
      </c>
      <c r="Q74" s="8">
        <v>270</v>
      </c>
      <c r="R74" s="8">
        <v>215</v>
      </c>
      <c r="S74" s="8">
        <v>242</v>
      </c>
      <c r="T74" s="8">
        <v>121</v>
      </c>
      <c r="U74" s="8">
        <v>217</v>
      </c>
      <c r="V74" s="8">
        <v>203</v>
      </c>
      <c r="W74" s="8">
        <v>159</v>
      </c>
      <c r="X74" s="8">
        <v>285</v>
      </c>
      <c r="Y74" s="8">
        <v>187</v>
      </c>
      <c r="Z74" s="8">
        <v>109</v>
      </c>
      <c r="AA74" s="8">
        <v>95</v>
      </c>
      <c r="AB74" s="8">
        <v>246</v>
      </c>
      <c r="AC74" s="8">
        <v>245</v>
      </c>
      <c r="AD74" s="8">
        <v>206</v>
      </c>
      <c r="AE74" s="8">
        <v>442</v>
      </c>
      <c r="AF74" s="8">
        <v>307</v>
      </c>
      <c r="AG74" s="8">
        <v>215</v>
      </c>
      <c r="AH74" s="8">
        <v>133</v>
      </c>
      <c r="AI74" s="8">
        <v>143</v>
      </c>
      <c r="AJ74" s="8">
        <v>253</v>
      </c>
      <c r="AK74" s="8">
        <v>210</v>
      </c>
      <c r="AL74" s="8">
        <v>289</v>
      </c>
      <c r="AM74" s="8">
        <v>320</v>
      </c>
      <c r="AN74" s="8">
        <v>365</v>
      </c>
      <c r="AO74" s="8">
        <v>416</v>
      </c>
      <c r="AP74" s="8">
        <v>205</v>
      </c>
      <c r="AQ74" s="8">
        <v>316</v>
      </c>
      <c r="AR74" s="8">
        <v>336</v>
      </c>
      <c r="AS74" s="8">
        <v>298</v>
      </c>
      <c r="AT74" s="8">
        <v>231</v>
      </c>
      <c r="AU74" s="8">
        <v>314</v>
      </c>
      <c r="AV74" s="8">
        <v>340</v>
      </c>
      <c r="AW74" s="8">
        <v>281</v>
      </c>
      <c r="AX74" s="8">
        <v>187</v>
      </c>
      <c r="AY74" s="8">
        <v>366</v>
      </c>
      <c r="AZ74" s="8">
        <v>572</v>
      </c>
      <c r="BA74" s="8">
        <v>241</v>
      </c>
      <c r="BB74" s="8">
        <v>195</v>
      </c>
      <c r="BC74" s="8">
        <v>413</v>
      </c>
      <c r="BD74" s="8">
        <v>218</v>
      </c>
      <c r="BE74" s="8">
        <v>156</v>
      </c>
      <c r="BF74" s="8">
        <v>199</v>
      </c>
      <c r="BG74" s="8">
        <v>228</v>
      </c>
      <c r="BH74" s="8">
        <v>180</v>
      </c>
      <c r="BI74" s="8">
        <v>176</v>
      </c>
      <c r="BJ74" s="8">
        <v>180</v>
      </c>
      <c r="BK74" s="8">
        <v>239</v>
      </c>
      <c r="BL74" s="8">
        <v>327</v>
      </c>
      <c r="BM74" s="8">
        <v>181</v>
      </c>
      <c r="BN74" s="8">
        <v>240</v>
      </c>
      <c r="BO74" s="8">
        <v>288</v>
      </c>
      <c r="BP74" s="8">
        <v>262</v>
      </c>
      <c r="BQ74" s="8">
        <v>275</v>
      </c>
      <c r="BR74" s="8">
        <v>212</v>
      </c>
      <c r="BS74" s="8">
        <v>206</v>
      </c>
      <c r="BT74" s="8">
        <v>224</v>
      </c>
      <c r="BU74" s="8">
        <v>248</v>
      </c>
      <c r="BV74" s="8">
        <v>149</v>
      </c>
      <c r="BW74" s="8">
        <v>344</v>
      </c>
      <c r="BX74" s="8">
        <v>191</v>
      </c>
      <c r="BY74" s="8">
        <v>274</v>
      </c>
      <c r="BZ74" s="8">
        <v>446</v>
      </c>
      <c r="CA74" s="8">
        <v>270</v>
      </c>
      <c r="CB74" s="8">
        <v>250</v>
      </c>
      <c r="CC74" s="8">
        <v>105</v>
      </c>
      <c r="CD74" s="8">
        <v>128</v>
      </c>
      <c r="CE74" s="8">
        <v>171</v>
      </c>
      <c r="CF74" s="8">
        <v>191</v>
      </c>
      <c r="CG74" s="8">
        <v>187</v>
      </c>
      <c r="CH74" s="8">
        <v>234</v>
      </c>
      <c r="CJ74" s="9"/>
      <c r="CK74" s="9"/>
      <c r="CL74" s="9"/>
      <c r="CM74" s="9"/>
      <c r="CN74" s="9"/>
      <c r="CO74" s="9"/>
      <c r="CP74" s="9"/>
      <c r="CQ74" s="9"/>
      <c r="CR74" s="9"/>
      <c r="CS74" s="9"/>
      <c r="CT74" s="9"/>
      <c r="CU74" s="9"/>
      <c r="CV74" s="9"/>
      <c r="CW74" s="9"/>
      <c r="CX74" s="9"/>
      <c r="CY74" s="9"/>
      <c r="CZ74" s="9"/>
      <c r="DA74" s="9"/>
      <c r="DB74" s="9"/>
      <c r="DC74" s="9"/>
      <c r="DD74" s="9"/>
      <c r="DE74" s="9"/>
      <c r="DF74" s="9"/>
      <c r="DG74" s="9"/>
      <c r="DH74" s="9"/>
      <c r="DI74" s="9"/>
      <c r="DJ74" s="9"/>
      <c r="DK74" s="9"/>
      <c r="DL74" s="9"/>
      <c r="DM74" s="9"/>
      <c r="DN74" s="9"/>
      <c r="DO74" s="9"/>
      <c r="DP74" s="9"/>
      <c r="DQ74" s="9"/>
      <c r="DR74" s="9"/>
      <c r="DS74" s="9"/>
      <c r="DT74" s="9"/>
      <c r="DU74" s="9"/>
      <c r="DV74" s="9"/>
      <c r="DW74" s="9"/>
      <c r="DX74" s="9"/>
      <c r="DY74" s="9"/>
      <c r="DZ74" s="9"/>
      <c r="EA74" s="9"/>
      <c r="EB74" s="9"/>
      <c r="EC74" s="9"/>
      <c r="ED74" s="9"/>
      <c r="EE74" s="9"/>
      <c r="EF74" s="9"/>
      <c r="EG74" s="9"/>
      <c r="EH74" s="9"/>
      <c r="EI74" s="9"/>
      <c r="EJ74" s="9"/>
      <c r="EK74" s="9"/>
      <c r="EL74" s="9"/>
      <c r="EM74" s="9"/>
      <c r="EN74" s="9"/>
      <c r="EO74" s="9"/>
      <c r="EP74" s="9"/>
      <c r="EQ74" s="9"/>
      <c r="ER74" s="9"/>
      <c r="ES74" s="9"/>
      <c r="ET74" s="9"/>
      <c r="EU74" s="9"/>
      <c r="EV74" s="9"/>
      <c r="EW74" s="9"/>
      <c r="EX74" s="9"/>
      <c r="EY74" s="9"/>
      <c r="EZ74" s="9"/>
      <c r="FA74" s="9"/>
      <c r="FB74" s="9"/>
      <c r="FC74" s="9"/>
      <c r="FD74" s="9"/>
      <c r="FE74" s="9"/>
      <c r="FF74" s="9"/>
      <c r="FG74" s="9"/>
      <c r="FH74" s="9"/>
      <c r="FI74" s="9"/>
    </row>
    <row r="75" spans="1:165" x14ac:dyDescent="0.2">
      <c r="A75" s="1" t="s">
        <v>511</v>
      </c>
      <c r="B75" s="1" t="s">
        <v>512</v>
      </c>
      <c r="C75" s="1" t="s">
        <v>346</v>
      </c>
      <c r="D75" s="1" t="str">
        <f>HYPERLINK("http://eros.fiehnlab.ucdavis.edu:8080/binbase-compound/bin/show/233104?db=rtx5","233104")</f>
        <v>233104</v>
      </c>
      <c r="E75" s="1" t="s">
        <v>513</v>
      </c>
      <c r="F75" s="1" t="str">
        <f>HYPERLINK("http://www.genome.ad.jp/dbget-bin/www_bget?compound+n/a","n/a")</f>
        <v>n/a</v>
      </c>
      <c r="G75" s="1" t="str">
        <f>HYPERLINK("http://pubchem.ncbi.nlm.nih.gov/summary/summary.cgi?cid=19770757","19770757")</f>
        <v>19770757</v>
      </c>
      <c r="H75" s="1"/>
      <c r="I75" s="8">
        <v>329</v>
      </c>
      <c r="J75" s="8">
        <v>364</v>
      </c>
      <c r="K75" s="8">
        <v>112</v>
      </c>
      <c r="L75" s="8">
        <v>123</v>
      </c>
      <c r="M75" s="8">
        <v>339</v>
      </c>
      <c r="N75" s="8">
        <v>142</v>
      </c>
      <c r="O75" s="8">
        <v>143</v>
      </c>
      <c r="P75" s="8">
        <v>113</v>
      </c>
      <c r="Q75" s="8">
        <v>91</v>
      </c>
      <c r="R75" s="8">
        <v>123</v>
      </c>
      <c r="S75" s="8">
        <v>148</v>
      </c>
      <c r="T75" s="8">
        <v>106</v>
      </c>
      <c r="U75" s="8">
        <v>145</v>
      </c>
      <c r="V75" s="8">
        <v>124</v>
      </c>
      <c r="W75" s="8">
        <v>109</v>
      </c>
      <c r="X75" s="8">
        <v>113</v>
      </c>
      <c r="Y75" s="8">
        <v>71</v>
      </c>
      <c r="Z75" s="8">
        <v>76</v>
      </c>
      <c r="AA75" s="8">
        <v>111</v>
      </c>
      <c r="AB75" s="8">
        <v>107</v>
      </c>
      <c r="AC75" s="8">
        <v>122</v>
      </c>
      <c r="AD75" s="8">
        <v>124</v>
      </c>
      <c r="AE75" s="8">
        <v>104</v>
      </c>
      <c r="AF75" s="8">
        <v>95</v>
      </c>
      <c r="AG75" s="8">
        <v>113</v>
      </c>
      <c r="AH75" s="8">
        <v>67</v>
      </c>
      <c r="AI75" s="8">
        <v>82</v>
      </c>
      <c r="AJ75" s="8">
        <v>109</v>
      </c>
      <c r="AK75" s="8">
        <v>122</v>
      </c>
      <c r="AL75" s="8">
        <v>148</v>
      </c>
      <c r="AM75" s="8">
        <v>116</v>
      </c>
      <c r="AN75" s="8">
        <v>128</v>
      </c>
      <c r="AO75" s="8">
        <v>110</v>
      </c>
      <c r="AP75" s="8">
        <v>112</v>
      </c>
      <c r="AQ75" s="8">
        <v>122</v>
      </c>
      <c r="AR75" s="8">
        <v>115</v>
      </c>
      <c r="AS75" s="8">
        <v>104</v>
      </c>
      <c r="AT75" s="8">
        <v>82</v>
      </c>
      <c r="AU75" s="8">
        <v>122</v>
      </c>
      <c r="AV75" s="8">
        <v>110</v>
      </c>
      <c r="AW75" s="8">
        <v>97</v>
      </c>
      <c r="AX75" s="8">
        <v>66</v>
      </c>
      <c r="AY75" s="8">
        <v>104</v>
      </c>
      <c r="AZ75" s="8">
        <v>142</v>
      </c>
      <c r="BA75" s="8">
        <v>138</v>
      </c>
      <c r="BB75" s="8">
        <v>102</v>
      </c>
      <c r="BC75" s="8">
        <v>104</v>
      </c>
      <c r="BD75" s="8">
        <v>97</v>
      </c>
      <c r="BE75" s="8">
        <v>116</v>
      </c>
      <c r="BF75" s="8">
        <v>106</v>
      </c>
      <c r="BG75" s="8">
        <v>86</v>
      </c>
      <c r="BH75" s="8">
        <v>82</v>
      </c>
      <c r="BI75" s="8">
        <v>104</v>
      </c>
      <c r="BJ75" s="8">
        <v>109</v>
      </c>
      <c r="BK75" s="8">
        <v>120</v>
      </c>
      <c r="BL75" s="8">
        <v>111</v>
      </c>
      <c r="BM75" s="8">
        <v>123</v>
      </c>
      <c r="BN75" s="8">
        <v>124</v>
      </c>
      <c r="BO75" s="8">
        <v>104</v>
      </c>
      <c r="BP75" s="8">
        <v>97</v>
      </c>
      <c r="BQ75" s="8">
        <v>100</v>
      </c>
      <c r="BR75" s="8">
        <v>111</v>
      </c>
      <c r="BS75" s="8">
        <v>85</v>
      </c>
      <c r="BT75" s="8">
        <v>75</v>
      </c>
      <c r="BU75" s="8">
        <v>94</v>
      </c>
      <c r="BV75" s="8">
        <v>81</v>
      </c>
      <c r="BW75" s="8">
        <v>92</v>
      </c>
      <c r="BX75" s="8">
        <v>103</v>
      </c>
      <c r="BY75" s="8">
        <v>108</v>
      </c>
      <c r="BZ75" s="8">
        <v>87</v>
      </c>
      <c r="CA75" s="8">
        <v>87</v>
      </c>
      <c r="CB75" s="8">
        <v>107</v>
      </c>
      <c r="CC75" s="8">
        <v>114</v>
      </c>
      <c r="CD75" s="8">
        <v>81</v>
      </c>
      <c r="CE75" s="8">
        <v>92</v>
      </c>
      <c r="CF75" s="8">
        <v>72</v>
      </c>
      <c r="CG75" s="8">
        <v>87</v>
      </c>
      <c r="CH75" s="8">
        <v>59</v>
      </c>
      <c r="CJ75" s="9"/>
      <c r="CK75" s="9"/>
      <c r="CL75" s="9"/>
      <c r="CM75" s="9"/>
      <c r="CN75" s="9"/>
      <c r="CO75" s="9"/>
      <c r="CP75" s="9"/>
      <c r="CQ75" s="9"/>
      <c r="CR75" s="9"/>
      <c r="CS75" s="9"/>
      <c r="CT75" s="9"/>
      <c r="CU75" s="9"/>
      <c r="CV75" s="9"/>
      <c r="CW75" s="9"/>
      <c r="CX75" s="9"/>
      <c r="CY75" s="9"/>
      <c r="CZ75" s="9"/>
      <c r="DA75" s="9"/>
      <c r="DB75" s="9"/>
      <c r="DC75" s="9"/>
      <c r="DD75" s="9"/>
      <c r="DE75" s="9"/>
      <c r="DF75" s="9"/>
      <c r="DG75" s="9"/>
      <c r="DH75" s="9"/>
      <c r="DI75" s="9"/>
      <c r="DJ75" s="9"/>
      <c r="DK75" s="9"/>
      <c r="DL75" s="9"/>
      <c r="DM75" s="9"/>
      <c r="DN75" s="9"/>
      <c r="DO75" s="9"/>
      <c r="DP75" s="9"/>
      <c r="DQ75" s="9"/>
      <c r="DR75" s="9"/>
      <c r="DS75" s="9"/>
      <c r="DT75" s="9"/>
      <c r="DU75" s="9"/>
      <c r="DV75" s="9"/>
      <c r="DW75" s="9"/>
      <c r="DX75" s="9"/>
      <c r="DY75" s="9"/>
      <c r="DZ75" s="9"/>
      <c r="EA75" s="9"/>
      <c r="EB75" s="9"/>
      <c r="EC75" s="9"/>
      <c r="ED75" s="9"/>
      <c r="EE75" s="9"/>
      <c r="EF75" s="9"/>
      <c r="EG75" s="9"/>
      <c r="EH75" s="9"/>
      <c r="EI75" s="9"/>
      <c r="EJ75" s="9"/>
      <c r="EK75" s="9"/>
      <c r="EL75" s="9"/>
      <c r="EM75" s="9"/>
      <c r="EN75" s="9"/>
      <c r="EO75" s="9"/>
      <c r="EP75" s="9"/>
      <c r="EQ75" s="9"/>
      <c r="ER75" s="9"/>
      <c r="ES75" s="9"/>
      <c r="ET75" s="9"/>
      <c r="EU75" s="9"/>
      <c r="EV75" s="9"/>
      <c r="EW75" s="9"/>
      <c r="EX75" s="9"/>
      <c r="EY75" s="9"/>
      <c r="EZ75" s="9"/>
      <c r="FA75" s="9"/>
      <c r="FB75" s="9"/>
      <c r="FC75" s="9"/>
      <c r="FD75" s="9"/>
      <c r="FE75" s="9"/>
      <c r="FF75" s="9"/>
      <c r="FG75" s="9"/>
      <c r="FH75" s="9"/>
      <c r="FI75" s="9"/>
    </row>
    <row r="76" spans="1:165" x14ac:dyDescent="0.2">
      <c r="A76" s="1" t="s">
        <v>514</v>
      </c>
      <c r="B76" s="1" t="s">
        <v>515</v>
      </c>
      <c r="C76" s="1" t="s">
        <v>374</v>
      </c>
      <c r="D76" s="1" t="str">
        <f>HYPERLINK("http://eros.fiehnlab.ucdavis.edu:8080/binbase-compound/bin/show/202167?db=rtx5","202167")</f>
        <v>202167</v>
      </c>
      <c r="E76" s="1" t="s">
        <v>516</v>
      </c>
      <c r="F76" s="1" t="str">
        <f>HYPERLINK("http://www.genome.ad.jp/dbget-bin/www_bget?compound+C00160","C00160")</f>
        <v>C00160</v>
      </c>
      <c r="G76" s="1" t="str">
        <f>HYPERLINK("http://pubchem.ncbi.nlm.nih.gov/summary/summary.cgi?cid=757","757")</f>
        <v>757</v>
      </c>
      <c r="H76" s="1"/>
      <c r="I76" s="8">
        <v>781</v>
      </c>
      <c r="J76" s="8">
        <v>802</v>
      </c>
      <c r="K76" s="8">
        <v>441</v>
      </c>
      <c r="L76" s="8">
        <v>612</v>
      </c>
      <c r="M76" s="8">
        <v>117</v>
      </c>
      <c r="N76" s="8">
        <v>166</v>
      </c>
      <c r="O76" s="8">
        <v>710</v>
      </c>
      <c r="P76" s="8">
        <v>958</v>
      </c>
      <c r="Q76" s="8">
        <v>154</v>
      </c>
      <c r="R76" s="8">
        <v>154</v>
      </c>
      <c r="S76" s="8">
        <v>162</v>
      </c>
      <c r="T76" s="8">
        <v>603</v>
      </c>
      <c r="U76" s="8">
        <v>652</v>
      </c>
      <c r="V76" s="8">
        <v>797</v>
      </c>
      <c r="W76" s="8">
        <v>778</v>
      </c>
      <c r="X76" s="8">
        <v>133</v>
      </c>
      <c r="Y76" s="8">
        <v>138</v>
      </c>
      <c r="Z76" s="8">
        <v>118</v>
      </c>
      <c r="AA76" s="8">
        <v>447</v>
      </c>
      <c r="AB76" s="8">
        <v>450</v>
      </c>
      <c r="AC76" s="8">
        <v>878</v>
      </c>
      <c r="AD76" s="8">
        <v>822</v>
      </c>
      <c r="AE76" s="8">
        <v>834</v>
      </c>
      <c r="AF76" s="8">
        <v>92</v>
      </c>
      <c r="AG76" s="8">
        <v>617</v>
      </c>
      <c r="AH76" s="8">
        <v>877</v>
      </c>
      <c r="AI76" s="8">
        <v>603</v>
      </c>
      <c r="AJ76" s="8">
        <v>694</v>
      </c>
      <c r="AK76" s="8">
        <v>125</v>
      </c>
      <c r="AL76" s="8">
        <v>165</v>
      </c>
      <c r="AM76" s="8">
        <v>977</v>
      </c>
      <c r="AN76" s="8">
        <v>719</v>
      </c>
      <c r="AO76" s="8">
        <v>940</v>
      </c>
      <c r="AP76" s="8">
        <v>1329</v>
      </c>
      <c r="AQ76" s="8">
        <v>139</v>
      </c>
      <c r="AR76" s="8">
        <v>113</v>
      </c>
      <c r="AS76" s="8">
        <v>653</v>
      </c>
      <c r="AT76" s="8">
        <v>790</v>
      </c>
      <c r="AU76" s="8">
        <v>861</v>
      </c>
      <c r="AV76" s="8">
        <v>525</v>
      </c>
      <c r="AW76" s="8">
        <v>896</v>
      </c>
      <c r="AX76" s="8">
        <v>126</v>
      </c>
      <c r="AY76" s="8">
        <v>2409</v>
      </c>
      <c r="AZ76" s="8">
        <v>1003</v>
      </c>
      <c r="BA76" s="8">
        <v>558</v>
      </c>
      <c r="BB76" s="8">
        <v>207</v>
      </c>
      <c r="BC76" s="8">
        <v>1904</v>
      </c>
      <c r="BD76" s="8">
        <v>154</v>
      </c>
      <c r="BE76" s="8">
        <v>817</v>
      </c>
      <c r="BF76" s="8">
        <v>918</v>
      </c>
      <c r="BG76" s="8">
        <v>1598</v>
      </c>
      <c r="BH76" s="8">
        <v>643</v>
      </c>
      <c r="BI76" s="8">
        <v>101</v>
      </c>
      <c r="BJ76" s="8">
        <v>129</v>
      </c>
      <c r="BK76" s="8">
        <v>995</v>
      </c>
      <c r="BL76" s="8">
        <v>789</v>
      </c>
      <c r="BM76" s="8">
        <v>1158</v>
      </c>
      <c r="BN76" s="8">
        <v>582</v>
      </c>
      <c r="BO76" s="8">
        <v>1000</v>
      </c>
      <c r="BP76" s="8">
        <v>739</v>
      </c>
      <c r="BQ76" s="8">
        <v>596</v>
      </c>
      <c r="BR76" s="8">
        <v>706</v>
      </c>
      <c r="BS76" s="8">
        <v>697</v>
      </c>
      <c r="BT76" s="8">
        <v>165</v>
      </c>
      <c r="BU76" s="8">
        <v>150</v>
      </c>
      <c r="BV76" s="8">
        <v>96</v>
      </c>
      <c r="BW76" s="8">
        <v>639</v>
      </c>
      <c r="BX76" s="8">
        <v>854</v>
      </c>
      <c r="BY76" s="8">
        <v>585</v>
      </c>
      <c r="BZ76" s="8">
        <v>834</v>
      </c>
      <c r="CA76" s="8">
        <v>119</v>
      </c>
      <c r="CB76" s="8">
        <v>978</v>
      </c>
      <c r="CC76" s="8">
        <v>827</v>
      </c>
      <c r="CD76" s="8">
        <v>726</v>
      </c>
      <c r="CE76" s="8">
        <v>771</v>
      </c>
      <c r="CF76" s="8">
        <v>830</v>
      </c>
      <c r="CG76" s="8">
        <v>863</v>
      </c>
      <c r="CH76" s="8">
        <v>96</v>
      </c>
      <c r="CJ76" s="9"/>
      <c r="CK76" s="9"/>
      <c r="CL76" s="9"/>
      <c r="CM76" s="9"/>
      <c r="CN76" s="9"/>
      <c r="CO76" s="9"/>
      <c r="CP76" s="9"/>
      <c r="CQ76" s="9"/>
      <c r="CR76" s="9"/>
      <c r="CS76" s="9"/>
      <c r="CT76" s="9"/>
      <c r="CU76" s="9"/>
      <c r="CV76" s="9"/>
      <c r="CW76" s="9"/>
      <c r="CX76" s="9"/>
      <c r="CY76" s="9"/>
      <c r="CZ76" s="9"/>
      <c r="DA76" s="9"/>
      <c r="DB76" s="9"/>
      <c r="DC76" s="9"/>
      <c r="DD76" s="9"/>
      <c r="DE76" s="9"/>
      <c r="DF76" s="9"/>
      <c r="DG76" s="9"/>
      <c r="DH76" s="9"/>
      <c r="DI76" s="9"/>
      <c r="DJ76" s="9"/>
      <c r="DK76" s="9"/>
      <c r="DL76" s="9"/>
      <c r="DM76" s="9"/>
      <c r="DN76" s="9"/>
      <c r="DO76" s="9"/>
      <c r="DP76" s="9"/>
      <c r="DQ76" s="9"/>
      <c r="DR76" s="9"/>
      <c r="DS76" s="9"/>
      <c r="DT76" s="9"/>
      <c r="DU76" s="9"/>
      <c r="DV76" s="9"/>
      <c r="DW76" s="9"/>
      <c r="DX76" s="9"/>
      <c r="DY76" s="9"/>
      <c r="DZ76" s="9"/>
      <c r="EA76" s="9"/>
      <c r="EB76" s="9"/>
      <c r="EC76" s="9"/>
      <c r="ED76" s="9"/>
      <c r="EE76" s="9"/>
      <c r="EF76" s="9"/>
      <c r="EG76" s="9"/>
      <c r="EH76" s="9"/>
      <c r="EI76" s="9"/>
      <c r="EJ76" s="9"/>
      <c r="EK76" s="9"/>
      <c r="EL76" s="9"/>
      <c r="EM76" s="9"/>
      <c r="EN76" s="9"/>
      <c r="EO76" s="9"/>
      <c r="EP76" s="9"/>
      <c r="EQ76" s="9"/>
      <c r="ER76" s="9"/>
      <c r="ES76" s="9"/>
      <c r="ET76" s="9"/>
      <c r="EU76" s="9"/>
      <c r="EV76" s="9"/>
      <c r="EW76" s="9"/>
      <c r="EX76" s="9"/>
      <c r="EY76" s="9"/>
      <c r="EZ76" s="9"/>
      <c r="FA76" s="9"/>
      <c r="FB76" s="9"/>
      <c r="FC76" s="9"/>
      <c r="FD76" s="9"/>
      <c r="FE76" s="9"/>
      <c r="FF76" s="9"/>
      <c r="FG76" s="9"/>
      <c r="FH76" s="9"/>
      <c r="FI76" s="9"/>
    </row>
    <row r="77" spans="1:165" x14ac:dyDescent="0.2">
      <c r="A77" s="1" t="s">
        <v>518</v>
      </c>
      <c r="B77" s="1" t="s">
        <v>519</v>
      </c>
      <c r="C77" s="1" t="s">
        <v>294</v>
      </c>
      <c r="D77" s="1" t="str">
        <f>HYPERLINK("http://eros.fiehnlab.ucdavis.edu:8080/binbase-compound/bin/show/227957?db=rtx5","227957")</f>
        <v>227957</v>
      </c>
      <c r="E77" s="1" t="s">
        <v>520</v>
      </c>
      <c r="F77" s="1" t="str">
        <f>HYPERLINK("http://www.genome.ad.jp/dbget-bin/www_bget?compound+C00037","C00037")</f>
        <v>C00037</v>
      </c>
      <c r="G77" s="1" t="str">
        <f>HYPERLINK("http://pubchem.ncbi.nlm.nih.gov/summary/summary.cgi?cid=750","750")</f>
        <v>750</v>
      </c>
      <c r="H77" s="1"/>
      <c r="I77" s="8">
        <v>82880</v>
      </c>
      <c r="J77" s="8">
        <v>81934</v>
      </c>
      <c r="K77" s="8">
        <v>76756</v>
      </c>
      <c r="L77" s="8">
        <v>76763</v>
      </c>
      <c r="M77" s="8">
        <v>98213</v>
      </c>
      <c r="N77" s="8">
        <v>97799</v>
      </c>
      <c r="O77" s="8">
        <v>67904</v>
      </c>
      <c r="P77" s="8">
        <v>80939</v>
      </c>
      <c r="Q77" s="8">
        <v>88840</v>
      </c>
      <c r="R77" s="8">
        <v>95641</v>
      </c>
      <c r="S77" s="8">
        <v>95213</v>
      </c>
      <c r="T77" s="8">
        <v>75548</v>
      </c>
      <c r="U77" s="8">
        <v>87980</v>
      </c>
      <c r="V77" s="8">
        <v>92436</v>
      </c>
      <c r="W77" s="8">
        <v>107725</v>
      </c>
      <c r="X77" s="8">
        <v>93985</v>
      </c>
      <c r="Y77" s="8">
        <v>87160</v>
      </c>
      <c r="Z77" s="8">
        <v>95021</v>
      </c>
      <c r="AA77" s="8">
        <v>73121</v>
      </c>
      <c r="AB77" s="8">
        <v>100750</v>
      </c>
      <c r="AC77" s="8">
        <v>108027</v>
      </c>
      <c r="AD77" s="8">
        <v>94204</v>
      </c>
      <c r="AE77" s="8">
        <v>114836</v>
      </c>
      <c r="AF77" s="8">
        <v>102940</v>
      </c>
      <c r="AG77" s="8">
        <v>97427</v>
      </c>
      <c r="AH77" s="8">
        <v>113198</v>
      </c>
      <c r="AI77" s="8">
        <v>105616</v>
      </c>
      <c r="AJ77" s="8">
        <v>132309</v>
      </c>
      <c r="AK77" s="8">
        <v>111220</v>
      </c>
      <c r="AL77" s="8">
        <v>84444</v>
      </c>
      <c r="AM77" s="8">
        <v>91131</v>
      </c>
      <c r="AN77" s="8">
        <v>83365</v>
      </c>
      <c r="AO77" s="8">
        <v>77308</v>
      </c>
      <c r="AP77" s="8">
        <v>77483</v>
      </c>
      <c r="AQ77" s="8">
        <v>82465</v>
      </c>
      <c r="AR77" s="8">
        <v>77155</v>
      </c>
      <c r="AS77" s="8">
        <v>91687</v>
      </c>
      <c r="AT77" s="8">
        <v>96337</v>
      </c>
      <c r="AU77" s="8">
        <v>82418</v>
      </c>
      <c r="AV77" s="8">
        <v>86649</v>
      </c>
      <c r="AW77" s="8">
        <v>108218</v>
      </c>
      <c r="AX77" s="8">
        <v>95815</v>
      </c>
      <c r="AY77" s="8">
        <v>107025</v>
      </c>
      <c r="AZ77" s="8">
        <v>119148</v>
      </c>
      <c r="BA77" s="8">
        <v>127230</v>
      </c>
      <c r="BB77" s="8">
        <v>129954</v>
      </c>
      <c r="BC77" s="8">
        <v>126441</v>
      </c>
      <c r="BD77" s="8">
        <v>120616</v>
      </c>
      <c r="BE77" s="8">
        <v>114794</v>
      </c>
      <c r="BF77" s="8">
        <v>107108</v>
      </c>
      <c r="BG77" s="8">
        <v>101243</v>
      </c>
      <c r="BH77" s="8">
        <v>89634</v>
      </c>
      <c r="BI77" s="8">
        <v>118049</v>
      </c>
      <c r="BJ77" s="8">
        <v>121984</v>
      </c>
      <c r="BK77" s="8">
        <v>102179</v>
      </c>
      <c r="BL77" s="8">
        <v>84170</v>
      </c>
      <c r="BM77" s="8">
        <v>90141</v>
      </c>
      <c r="BN77" s="8">
        <v>88552</v>
      </c>
      <c r="BO77" s="8">
        <v>105343</v>
      </c>
      <c r="BP77" s="8">
        <v>109034</v>
      </c>
      <c r="BQ77" s="8">
        <v>103302</v>
      </c>
      <c r="BR77" s="8">
        <v>93224</v>
      </c>
      <c r="BS77" s="8">
        <v>99237</v>
      </c>
      <c r="BT77" s="8">
        <v>96278</v>
      </c>
      <c r="BU77" s="8">
        <v>93162</v>
      </c>
      <c r="BV77" s="8">
        <v>97571</v>
      </c>
      <c r="BW77" s="8">
        <v>138541</v>
      </c>
      <c r="BX77" s="8">
        <v>125032</v>
      </c>
      <c r="BY77" s="8">
        <v>132694</v>
      </c>
      <c r="BZ77" s="8">
        <v>139257</v>
      </c>
      <c r="CA77" s="8">
        <v>147435</v>
      </c>
      <c r="CB77" s="8">
        <v>121334</v>
      </c>
      <c r="CC77" s="8">
        <v>115139</v>
      </c>
      <c r="CD77" s="8">
        <v>132688</v>
      </c>
      <c r="CE77" s="8">
        <v>121890</v>
      </c>
      <c r="CF77" s="8">
        <v>104234</v>
      </c>
      <c r="CG77" s="8">
        <v>120088</v>
      </c>
      <c r="CH77" s="8">
        <v>125312</v>
      </c>
      <c r="CJ77" s="9"/>
      <c r="CK77" s="9"/>
      <c r="CL77" s="9"/>
      <c r="CM77" s="9"/>
      <c r="CN77" s="9"/>
      <c r="CO77" s="9"/>
      <c r="CP77" s="9"/>
      <c r="CQ77" s="9"/>
      <c r="CR77" s="9"/>
      <c r="CS77" s="9"/>
      <c r="CT77" s="9"/>
      <c r="CU77" s="9"/>
      <c r="CV77" s="9"/>
      <c r="CW77" s="9"/>
      <c r="CX77" s="9"/>
      <c r="CY77" s="9"/>
      <c r="CZ77" s="9"/>
      <c r="DA77" s="9"/>
      <c r="DB77" s="9"/>
      <c r="DC77" s="9"/>
      <c r="DD77" s="9"/>
      <c r="DE77" s="9"/>
      <c r="DF77" s="9"/>
      <c r="DG77" s="9"/>
      <c r="DH77" s="9"/>
      <c r="DI77" s="9"/>
      <c r="DJ77" s="9"/>
      <c r="DK77" s="9"/>
      <c r="DL77" s="9"/>
      <c r="DM77" s="9"/>
      <c r="DN77" s="9"/>
      <c r="DO77" s="9"/>
      <c r="DP77" s="9"/>
      <c r="DQ77" s="9"/>
      <c r="DR77" s="9"/>
      <c r="DS77" s="9"/>
      <c r="DT77" s="9"/>
      <c r="DU77" s="9"/>
      <c r="DV77" s="9"/>
      <c r="DW77" s="9"/>
      <c r="DX77" s="9"/>
      <c r="DY77" s="9"/>
      <c r="DZ77" s="9"/>
      <c r="EA77" s="9"/>
      <c r="EB77" s="9"/>
      <c r="EC77" s="9"/>
      <c r="ED77" s="9"/>
      <c r="EE77" s="9"/>
      <c r="EF77" s="9"/>
      <c r="EG77" s="9"/>
      <c r="EH77" s="9"/>
      <c r="EI77" s="9"/>
      <c r="EJ77" s="9"/>
      <c r="EK77" s="9"/>
      <c r="EL77" s="9"/>
      <c r="EM77" s="9"/>
      <c r="EN77" s="9"/>
      <c r="EO77" s="9"/>
      <c r="EP77" s="9"/>
      <c r="EQ77" s="9"/>
      <c r="ER77" s="9"/>
      <c r="ES77" s="9"/>
      <c r="ET77" s="9"/>
      <c r="EU77" s="9"/>
      <c r="EV77" s="9"/>
      <c r="EW77" s="9"/>
      <c r="EX77" s="9"/>
      <c r="EY77" s="9"/>
      <c r="EZ77" s="9"/>
      <c r="FA77" s="9"/>
      <c r="FB77" s="9"/>
      <c r="FC77" s="9"/>
      <c r="FD77" s="9"/>
      <c r="FE77" s="9"/>
      <c r="FF77" s="9"/>
      <c r="FG77" s="9"/>
      <c r="FH77" s="9"/>
      <c r="FI77" s="9"/>
    </row>
    <row r="78" spans="1:165" x14ac:dyDescent="0.2">
      <c r="A78" s="1" t="s">
        <v>521</v>
      </c>
      <c r="B78" s="1" t="s">
        <v>522</v>
      </c>
      <c r="C78" s="1" t="s">
        <v>523</v>
      </c>
      <c r="D78" s="1" t="str">
        <f>HYPERLINK("http://eros.fiehnlab.ucdavis.edu:8080/binbase-compound/bin/show/307896?db=rtx5","307896")</f>
        <v>307896</v>
      </c>
      <c r="E78" s="1" t="s">
        <v>524</v>
      </c>
      <c r="F78" s="1" t="str">
        <f>HYPERLINK("http://www.genome.ad.jp/dbget-bin/www_bget?compound+C02979","C02979")</f>
        <v>C02979</v>
      </c>
      <c r="G78" s="1" t="str">
        <f>HYPERLINK("http://pubchem.ncbi.nlm.nih.gov/summary/summary.cgi?cid=2526","2526")</f>
        <v>2526</v>
      </c>
      <c r="H78" s="1"/>
      <c r="I78" s="8">
        <v>119</v>
      </c>
      <c r="J78" s="8">
        <v>97</v>
      </c>
      <c r="K78" s="8">
        <v>104</v>
      </c>
      <c r="L78" s="8">
        <v>88</v>
      </c>
      <c r="M78" s="8">
        <v>98</v>
      </c>
      <c r="N78" s="8">
        <v>310</v>
      </c>
      <c r="O78" s="8">
        <v>121</v>
      </c>
      <c r="P78" s="8">
        <v>279</v>
      </c>
      <c r="Q78" s="8">
        <v>213</v>
      </c>
      <c r="R78" s="8">
        <v>184</v>
      </c>
      <c r="S78" s="8">
        <v>231</v>
      </c>
      <c r="T78" s="8">
        <v>101</v>
      </c>
      <c r="U78" s="8">
        <v>125</v>
      </c>
      <c r="V78" s="8">
        <v>79</v>
      </c>
      <c r="W78" s="8">
        <v>138</v>
      </c>
      <c r="X78" s="8">
        <v>79</v>
      </c>
      <c r="Y78" s="8">
        <v>81</v>
      </c>
      <c r="Z78" s="8">
        <v>144</v>
      </c>
      <c r="AA78" s="8">
        <v>56</v>
      </c>
      <c r="AB78" s="8">
        <v>79</v>
      </c>
      <c r="AC78" s="8">
        <v>213</v>
      </c>
      <c r="AD78" s="8">
        <v>179</v>
      </c>
      <c r="AE78" s="8">
        <v>196</v>
      </c>
      <c r="AF78" s="8">
        <v>70</v>
      </c>
      <c r="AG78" s="8">
        <v>104</v>
      </c>
      <c r="AH78" s="8">
        <v>121</v>
      </c>
      <c r="AI78" s="8">
        <v>125</v>
      </c>
      <c r="AJ78" s="8">
        <v>139</v>
      </c>
      <c r="AK78" s="8">
        <v>197</v>
      </c>
      <c r="AL78" s="8">
        <v>112</v>
      </c>
      <c r="AM78" s="8">
        <v>147</v>
      </c>
      <c r="AN78" s="8">
        <v>194</v>
      </c>
      <c r="AO78" s="8">
        <v>237</v>
      </c>
      <c r="AP78" s="8">
        <v>92</v>
      </c>
      <c r="AQ78" s="8">
        <v>102</v>
      </c>
      <c r="AR78" s="8">
        <v>137</v>
      </c>
      <c r="AS78" s="8">
        <v>121</v>
      </c>
      <c r="AT78" s="8">
        <v>125</v>
      </c>
      <c r="AU78" s="8">
        <v>133</v>
      </c>
      <c r="AV78" s="8">
        <v>99</v>
      </c>
      <c r="AW78" s="8">
        <v>147</v>
      </c>
      <c r="AX78" s="8">
        <v>110</v>
      </c>
      <c r="AY78" s="8">
        <v>103</v>
      </c>
      <c r="AZ78" s="8">
        <v>110</v>
      </c>
      <c r="BA78" s="8">
        <v>79</v>
      </c>
      <c r="BB78" s="8">
        <v>105</v>
      </c>
      <c r="BC78" s="8">
        <v>99</v>
      </c>
      <c r="BD78" s="8">
        <v>133</v>
      </c>
      <c r="BE78" s="8">
        <v>110</v>
      </c>
      <c r="BF78" s="8">
        <v>112</v>
      </c>
      <c r="BG78" s="8">
        <v>101</v>
      </c>
      <c r="BH78" s="8">
        <v>55</v>
      </c>
      <c r="BI78" s="8">
        <v>119</v>
      </c>
      <c r="BJ78" s="8">
        <v>66</v>
      </c>
      <c r="BK78" s="8">
        <v>125</v>
      </c>
      <c r="BL78" s="8">
        <v>184</v>
      </c>
      <c r="BM78" s="8">
        <v>247</v>
      </c>
      <c r="BN78" s="8">
        <v>71</v>
      </c>
      <c r="BO78" s="8">
        <v>201</v>
      </c>
      <c r="BP78" s="8">
        <v>123</v>
      </c>
      <c r="BQ78" s="8">
        <v>161</v>
      </c>
      <c r="BR78" s="8">
        <v>74</v>
      </c>
      <c r="BS78" s="8">
        <v>102</v>
      </c>
      <c r="BT78" s="8">
        <v>91</v>
      </c>
      <c r="BU78" s="8">
        <v>72</v>
      </c>
      <c r="BV78" s="8">
        <v>105</v>
      </c>
      <c r="BW78" s="8">
        <v>118</v>
      </c>
      <c r="BX78" s="8">
        <v>180</v>
      </c>
      <c r="BY78" s="8">
        <v>94</v>
      </c>
      <c r="BZ78" s="8">
        <v>80</v>
      </c>
      <c r="CA78" s="8">
        <v>86</v>
      </c>
      <c r="CB78" s="8">
        <v>164</v>
      </c>
      <c r="CC78" s="8">
        <v>83</v>
      </c>
      <c r="CD78" s="8">
        <v>84</v>
      </c>
      <c r="CE78" s="8">
        <v>116</v>
      </c>
      <c r="CF78" s="8">
        <v>122</v>
      </c>
      <c r="CG78" s="8">
        <v>113</v>
      </c>
      <c r="CH78" s="8">
        <v>82</v>
      </c>
      <c r="CJ78" s="9"/>
      <c r="CK78" s="9"/>
      <c r="CL78" s="9"/>
      <c r="CM78" s="9"/>
      <c r="CN78" s="9"/>
      <c r="CO78" s="9"/>
      <c r="CP78" s="9"/>
      <c r="CQ78" s="9"/>
      <c r="CR78" s="9"/>
      <c r="CS78" s="9"/>
      <c r="CT78" s="9"/>
      <c r="CU78" s="9"/>
      <c r="CV78" s="9"/>
      <c r="CW78" s="9"/>
      <c r="CX78" s="9"/>
      <c r="CY78" s="9"/>
      <c r="CZ78" s="9"/>
      <c r="DA78" s="9"/>
      <c r="DB78" s="9"/>
      <c r="DC78" s="9"/>
      <c r="DD78" s="9"/>
      <c r="DE78" s="9"/>
      <c r="DF78" s="9"/>
      <c r="DG78" s="9"/>
      <c r="DH78" s="9"/>
      <c r="DI78" s="9"/>
      <c r="DJ78" s="9"/>
      <c r="DK78" s="9"/>
      <c r="DL78" s="9"/>
      <c r="DM78" s="9"/>
      <c r="DN78" s="9"/>
      <c r="DO78" s="9"/>
      <c r="DP78" s="9"/>
      <c r="DQ78" s="9"/>
      <c r="DR78" s="9"/>
      <c r="DS78" s="9"/>
      <c r="DT78" s="9"/>
      <c r="DU78" s="9"/>
      <c r="DV78" s="9"/>
      <c r="DW78" s="9"/>
      <c r="DX78" s="9"/>
      <c r="DY78" s="9"/>
      <c r="DZ78" s="9"/>
      <c r="EA78" s="9"/>
      <c r="EB78" s="9"/>
      <c r="EC78" s="9"/>
      <c r="ED78" s="9"/>
      <c r="EE78" s="9"/>
      <c r="EF78" s="9"/>
      <c r="EG78" s="9"/>
      <c r="EH78" s="9"/>
      <c r="EI78" s="9"/>
      <c r="EJ78" s="9"/>
      <c r="EK78" s="9"/>
      <c r="EL78" s="9"/>
      <c r="EM78" s="9"/>
      <c r="EN78" s="9"/>
      <c r="EO78" s="9"/>
      <c r="EP78" s="9"/>
      <c r="EQ78" s="9"/>
      <c r="ER78" s="9"/>
      <c r="ES78" s="9"/>
      <c r="ET78" s="9"/>
      <c r="EU78" s="9"/>
      <c r="EV78" s="9"/>
      <c r="EW78" s="9"/>
      <c r="EX78" s="9"/>
      <c r="EY78" s="9"/>
      <c r="EZ78" s="9"/>
      <c r="FA78" s="9"/>
      <c r="FB78" s="9"/>
      <c r="FC78" s="9"/>
      <c r="FD78" s="9"/>
      <c r="FE78" s="9"/>
      <c r="FF78" s="9"/>
      <c r="FG78" s="9"/>
      <c r="FH78" s="9"/>
      <c r="FI78" s="9"/>
    </row>
    <row r="79" spans="1:165" x14ac:dyDescent="0.2">
      <c r="A79" s="1" t="s">
        <v>525</v>
      </c>
      <c r="B79" s="1" t="s">
        <v>526</v>
      </c>
      <c r="C79" s="1" t="s">
        <v>390</v>
      </c>
      <c r="D79" s="1" t="str">
        <f>HYPERLINK("http://eros.fiehnlab.ucdavis.edu:8080/binbase-compound/bin/show/199419?db=rtx5","199419")</f>
        <v>199419</v>
      </c>
      <c r="E79" s="1" t="s">
        <v>527</v>
      </c>
      <c r="F79" s="1" t="str">
        <f>HYPERLINK("http://www.genome.ad.jp/dbget-bin/www_bget?compound+C00093","C00093")</f>
        <v>C00093</v>
      </c>
      <c r="G79" s="1" t="str">
        <f>HYPERLINK("http://pubchem.ncbi.nlm.nih.gov/summary/summary.cgi?cid=754","754")</f>
        <v>754</v>
      </c>
      <c r="H79" s="1"/>
      <c r="I79" s="8">
        <v>16278</v>
      </c>
      <c r="J79" s="8">
        <v>21217</v>
      </c>
      <c r="K79" s="8">
        <v>25266</v>
      </c>
      <c r="L79" s="8">
        <v>20225</v>
      </c>
      <c r="M79" s="8">
        <v>25583</v>
      </c>
      <c r="N79" s="8">
        <v>22249</v>
      </c>
      <c r="O79" s="8">
        <v>43250</v>
      </c>
      <c r="P79" s="8">
        <v>44813</v>
      </c>
      <c r="Q79" s="8">
        <v>48503</v>
      </c>
      <c r="R79" s="8">
        <v>46581</v>
      </c>
      <c r="S79" s="8">
        <v>50488</v>
      </c>
      <c r="T79" s="8">
        <v>28031</v>
      </c>
      <c r="U79" s="8">
        <v>30527</v>
      </c>
      <c r="V79" s="8">
        <v>28768</v>
      </c>
      <c r="W79" s="8">
        <v>21450</v>
      </c>
      <c r="X79" s="8">
        <v>31219</v>
      </c>
      <c r="Y79" s="8">
        <v>23844</v>
      </c>
      <c r="Z79" s="8">
        <v>28991</v>
      </c>
      <c r="AA79" s="8">
        <v>16483</v>
      </c>
      <c r="AB79" s="8">
        <v>27194</v>
      </c>
      <c r="AC79" s="8">
        <v>33255</v>
      </c>
      <c r="AD79" s="8">
        <v>26426</v>
      </c>
      <c r="AE79" s="8">
        <v>28089</v>
      </c>
      <c r="AF79" s="8">
        <v>19330</v>
      </c>
      <c r="AG79" s="8">
        <v>23282</v>
      </c>
      <c r="AH79" s="8">
        <v>17863</v>
      </c>
      <c r="AI79" s="8">
        <v>30020</v>
      </c>
      <c r="AJ79" s="8">
        <v>31030</v>
      </c>
      <c r="AK79" s="8">
        <v>23958</v>
      </c>
      <c r="AL79" s="8">
        <v>46331</v>
      </c>
      <c r="AM79" s="8">
        <v>23002</v>
      </c>
      <c r="AN79" s="8">
        <v>24906</v>
      </c>
      <c r="AO79" s="8">
        <v>26790</v>
      </c>
      <c r="AP79" s="8">
        <v>23222</v>
      </c>
      <c r="AQ79" s="8">
        <v>24781</v>
      </c>
      <c r="AR79" s="8">
        <v>18897</v>
      </c>
      <c r="AS79" s="8">
        <v>22683</v>
      </c>
      <c r="AT79" s="8">
        <v>22846</v>
      </c>
      <c r="AU79" s="8">
        <v>22008</v>
      </c>
      <c r="AV79" s="8">
        <v>22282</v>
      </c>
      <c r="AW79" s="8">
        <v>25399</v>
      </c>
      <c r="AX79" s="8">
        <v>19465</v>
      </c>
      <c r="AY79" s="8">
        <v>8768</v>
      </c>
      <c r="AZ79" s="8">
        <v>10170</v>
      </c>
      <c r="BA79" s="8">
        <v>9818</v>
      </c>
      <c r="BB79" s="8">
        <v>9005</v>
      </c>
      <c r="BC79" s="8">
        <v>9254</v>
      </c>
      <c r="BD79" s="8">
        <v>10421</v>
      </c>
      <c r="BE79" s="8">
        <v>23204</v>
      </c>
      <c r="BF79" s="8">
        <v>16167</v>
      </c>
      <c r="BG79" s="8">
        <v>23757</v>
      </c>
      <c r="BH79" s="8">
        <v>20015</v>
      </c>
      <c r="BI79" s="8">
        <v>24276</v>
      </c>
      <c r="BJ79" s="8">
        <v>21668</v>
      </c>
      <c r="BK79" s="8">
        <v>26320</v>
      </c>
      <c r="BL79" s="8">
        <v>31457</v>
      </c>
      <c r="BM79" s="8">
        <v>32847</v>
      </c>
      <c r="BN79" s="8">
        <v>23927</v>
      </c>
      <c r="BO79" s="8">
        <v>38544</v>
      </c>
      <c r="BP79" s="8">
        <v>33757</v>
      </c>
      <c r="BQ79" s="8">
        <v>26510</v>
      </c>
      <c r="BR79" s="8">
        <v>17957</v>
      </c>
      <c r="BS79" s="8">
        <v>18826</v>
      </c>
      <c r="BT79" s="8">
        <v>23075</v>
      </c>
      <c r="BU79" s="8">
        <v>21114</v>
      </c>
      <c r="BV79" s="8">
        <v>24420</v>
      </c>
      <c r="BW79" s="8">
        <v>19246</v>
      </c>
      <c r="BX79" s="8">
        <v>22438</v>
      </c>
      <c r="BY79" s="8">
        <v>19447</v>
      </c>
      <c r="BZ79" s="8">
        <v>27088</v>
      </c>
      <c r="CA79" s="8">
        <v>22975</v>
      </c>
      <c r="CB79" s="8">
        <v>21098</v>
      </c>
      <c r="CC79" s="8">
        <v>18820</v>
      </c>
      <c r="CD79" s="8">
        <v>17536</v>
      </c>
      <c r="CE79" s="8">
        <v>17754</v>
      </c>
      <c r="CF79" s="8">
        <v>17533</v>
      </c>
      <c r="CG79" s="8">
        <v>24030</v>
      </c>
      <c r="CH79" s="8">
        <v>21138</v>
      </c>
      <c r="CJ79" s="9"/>
      <c r="CK79" s="9"/>
      <c r="CL79" s="9"/>
      <c r="CM79" s="9"/>
      <c r="CN79" s="9"/>
      <c r="CO79" s="9"/>
      <c r="CP79" s="9"/>
      <c r="CQ79" s="9"/>
      <c r="CR79" s="9"/>
      <c r="CS79" s="9"/>
      <c r="CT79" s="9"/>
      <c r="CU79" s="9"/>
      <c r="CV79" s="9"/>
      <c r="CW79" s="9"/>
      <c r="CX79" s="9"/>
      <c r="CY79" s="9"/>
      <c r="CZ79" s="9"/>
      <c r="DA79" s="9"/>
      <c r="DB79" s="9"/>
      <c r="DC79" s="9"/>
      <c r="DD79" s="9"/>
      <c r="DE79" s="9"/>
      <c r="DF79" s="9"/>
      <c r="DG79" s="9"/>
      <c r="DH79" s="9"/>
      <c r="DI79" s="9"/>
      <c r="DJ79" s="9"/>
      <c r="DK79" s="9"/>
      <c r="DL79" s="9"/>
      <c r="DM79" s="9"/>
      <c r="DN79" s="9"/>
      <c r="DO79" s="9"/>
      <c r="DP79" s="9"/>
      <c r="DQ79" s="9"/>
      <c r="DR79" s="9"/>
      <c r="DS79" s="9"/>
      <c r="DT79" s="9"/>
      <c r="DU79" s="9"/>
      <c r="DV79" s="9"/>
      <c r="DW79" s="9"/>
      <c r="DX79" s="9"/>
      <c r="DY79" s="9"/>
      <c r="DZ79" s="9"/>
      <c r="EA79" s="9"/>
      <c r="EB79" s="9"/>
      <c r="EC79" s="9"/>
      <c r="ED79" s="9"/>
      <c r="EE79" s="9"/>
      <c r="EF79" s="9"/>
      <c r="EG79" s="9"/>
      <c r="EH79" s="9"/>
      <c r="EI79" s="9"/>
      <c r="EJ79" s="9"/>
      <c r="EK79" s="9"/>
      <c r="EL79" s="9"/>
      <c r="EM79" s="9"/>
      <c r="EN79" s="9"/>
      <c r="EO79" s="9"/>
      <c r="EP79" s="9"/>
      <c r="EQ79" s="9"/>
      <c r="ER79" s="9"/>
      <c r="ES79" s="9"/>
      <c r="ET79" s="9"/>
      <c r="EU79" s="9"/>
      <c r="EV79" s="9"/>
      <c r="EW79" s="9"/>
      <c r="EX79" s="9"/>
      <c r="EY79" s="9"/>
      <c r="EZ79" s="9"/>
      <c r="FA79" s="9"/>
      <c r="FB79" s="9"/>
      <c r="FC79" s="9"/>
      <c r="FD79" s="9"/>
      <c r="FE79" s="9"/>
      <c r="FF79" s="9"/>
      <c r="FG79" s="9"/>
      <c r="FH79" s="9"/>
      <c r="FI79" s="9"/>
    </row>
    <row r="80" spans="1:165" x14ac:dyDescent="0.2">
      <c r="A80" s="1" t="s">
        <v>529</v>
      </c>
      <c r="B80" s="1" t="s">
        <v>530</v>
      </c>
      <c r="C80" s="1" t="s">
        <v>531</v>
      </c>
      <c r="D80" s="1" t="str">
        <f>HYPERLINK("http://eros.fiehnlab.ucdavis.edu:8080/binbase-compound/bin/show/214125?db=rtx5","214125")</f>
        <v>214125</v>
      </c>
      <c r="E80" s="1" t="s">
        <v>532</v>
      </c>
      <c r="F80" s="1" t="str">
        <f>HYPERLINK("http://www.genome.ad.jp/dbget-bin/www_bget?compound+C00051","C00051")</f>
        <v>C00051</v>
      </c>
      <c r="G80" s="1" t="str">
        <f>HYPERLINK("http://pubchem.ncbi.nlm.nih.gov/summary/summary.cgi?cid=124886","124886")</f>
        <v>124886</v>
      </c>
      <c r="H80" s="1"/>
      <c r="I80" s="8">
        <v>344</v>
      </c>
      <c r="J80" s="8">
        <v>270</v>
      </c>
      <c r="K80" s="8">
        <v>352</v>
      </c>
      <c r="L80" s="8">
        <v>359</v>
      </c>
      <c r="M80" s="8">
        <v>291</v>
      </c>
      <c r="N80" s="8">
        <v>277</v>
      </c>
      <c r="O80" s="8">
        <v>178</v>
      </c>
      <c r="P80" s="8">
        <v>387</v>
      </c>
      <c r="Q80" s="8">
        <v>449</v>
      </c>
      <c r="R80" s="8">
        <v>512</v>
      </c>
      <c r="S80" s="8">
        <v>455</v>
      </c>
      <c r="T80" s="8">
        <v>352</v>
      </c>
      <c r="U80" s="8">
        <v>287</v>
      </c>
      <c r="V80" s="8">
        <v>259</v>
      </c>
      <c r="W80" s="8">
        <v>435</v>
      </c>
      <c r="X80" s="8">
        <v>333</v>
      </c>
      <c r="Y80" s="8">
        <v>360</v>
      </c>
      <c r="Z80" s="8">
        <v>508</v>
      </c>
      <c r="AA80" s="8">
        <v>466</v>
      </c>
      <c r="AB80" s="8">
        <v>569</v>
      </c>
      <c r="AC80" s="8">
        <v>298</v>
      </c>
      <c r="AD80" s="8">
        <v>533</v>
      </c>
      <c r="AE80" s="8">
        <v>373</v>
      </c>
      <c r="AF80" s="8">
        <v>325</v>
      </c>
      <c r="AG80" s="8">
        <v>351</v>
      </c>
      <c r="AH80" s="8">
        <v>486</v>
      </c>
      <c r="AI80" s="8">
        <v>428</v>
      </c>
      <c r="AJ80" s="8">
        <v>436</v>
      </c>
      <c r="AK80" s="8">
        <v>542</v>
      </c>
      <c r="AL80" s="8">
        <v>392</v>
      </c>
      <c r="AM80" s="8">
        <v>513</v>
      </c>
      <c r="AN80" s="8">
        <v>435</v>
      </c>
      <c r="AO80" s="8">
        <v>316</v>
      </c>
      <c r="AP80" s="8">
        <v>328</v>
      </c>
      <c r="AQ80" s="8">
        <v>459</v>
      </c>
      <c r="AR80" s="8">
        <v>412</v>
      </c>
      <c r="AS80" s="8">
        <v>765</v>
      </c>
      <c r="AT80" s="8">
        <v>634</v>
      </c>
      <c r="AU80" s="8">
        <v>503</v>
      </c>
      <c r="AV80" s="8">
        <v>357</v>
      </c>
      <c r="AW80" s="8">
        <v>518</v>
      </c>
      <c r="AX80" s="8">
        <v>323</v>
      </c>
      <c r="AY80" s="8">
        <v>565</v>
      </c>
      <c r="AZ80" s="8">
        <v>267</v>
      </c>
      <c r="BA80" s="8">
        <v>615</v>
      </c>
      <c r="BB80" s="8">
        <v>357</v>
      </c>
      <c r="BC80" s="8">
        <v>433</v>
      </c>
      <c r="BD80" s="8">
        <v>401</v>
      </c>
      <c r="BE80" s="8">
        <v>318</v>
      </c>
      <c r="BF80" s="8">
        <v>439</v>
      </c>
      <c r="BG80" s="8">
        <v>321</v>
      </c>
      <c r="BH80" s="8">
        <v>474</v>
      </c>
      <c r="BI80" s="8">
        <v>377</v>
      </c>
      <c r="BJ80" s="8">
        <v>296</v>
      </c>
      <c r="BK80" s="8">
        <v>280</v>
      </c>
      <c r="BL80" s="8">
        <v>200</v>
      </c>
      <c r="BM80" s="8">
        <v>399</v>
      </c>
      <c r="BN80" s="8">
        <v>235</v>
      </c>
      <c r="BO80" s="8">
        <v>258</v>
      </c>
      <c r="BP80" s="8">
        <v>295</v>
      </c>
      <c r="BQ80" s="8">
        <v>697</v>
      </c>
      <c r="BR80" s="8">
        <v>328</v>
      </c>
      <c r="BS80" s="8">
        <v>283</v>
      </c>
      <c r="BT80" s="8">
        <v>264</v>
      </c>
      <c r="BU80" s="8">
        <v>150</v>
      </c>
      <c r="BV80" s="8">
        <v>384</v>
      </c>
      <c r="BW80" s="8">
        <v>662</v>
      </c>
      <c r="BX80" s="8">
        <v>283</v>
      </c>
      <c r="BY80" s="8">
        <v>475</v>
      </c>
      <c r="BZ80" s="8">
        <v>273</v>
      </c>
      <c r="CA80" s="8">
        <v>405</v>
      </c>
      <c r="CB80" s="8">
        <v>326</v>
      </c>
      <c r="CC80" s="8">
        <v>261</v>
      </c>
      <c r="CD80" s="8">
        <v>309</v>
      </c>
      <c r="CE80" s="8">
        <v>415</v>
      </c>
      <c r="CF80" s="8">
        <v>331</v>
      </c>
      <c r="CG80" s="8">
        <v>245</v>
      </c>
      <c r="CH80" s="8">
        <v>382</v>
      </c>
      <c r="CJ80" s="9"/>
      <c r="CK80" s="9"/>
      <c r="CL80" s="9"/>
      <c r="CM80" s="9"/>
      <c r="CN80" s="9"/>
      <c r="CO80" s="9"/>
      <c r="CP80" s="9"/>
      <c r="CQ80" s="9"/>
      <c r="CR80" s="9"/>
      <c r="CS80" s="9"/>
      <c r="CT80" s="9"/>
      <c r="CU80" s="9"/>
      <c r="CV80" s="9"/>
      <c r="CW80" s="9"/>
      <c r="CX80" s="9"/>
      <c r="CY80" s="9"/>
      <c r="CZ80" s="9"/>
      <c r="DA80" s="9"/>
      <c r="DB80" s="9"/>
      <c r="DC80" s="9"/>
      <c r="DD80" s="9"/>
      <c r="DE80" s="9"/>
      <c r="DF80" s="9"/>
      <c r="DG80" s="9"/>
      <c r="DH80" s="9"/>
      <c r="DI80" s="9"/>
      <c r="DJ80" s="9"/>
      <c r="DK80" s="9"/>
      <c r="DL80" s="9"/>
      <c r="DM80" s="9"/>
      <c r="DN80" s="9"/>
      <c r="DO80" s="9"/>
      <c r="DP80" s="9"/>
      <c r="DQ80" s="9"/>
      <c r="DR80" s="9"/>
      <c r="DS80" s="9"/>
      <c r="DT80" s="9"/>
      <c r="DU80" s="9"/>
      <c r="DV80" s="9"/>
      <c r="DW80" s="9"/>
      <c r="DX80" s="9"/>
      <c r="DY80" s="9"/>
      <c r="DZ80" s="9"/>
      <c r="EA80" s="9"/>
      <c r="EB80" s="9"/>
      <c r="EC80" s="9"/>
      <c r="ED80" s="9"/>
      <c r="EE80" s="9"/>
      <c r="EF80" s="9"/>
      <c r="EG80" s="9"/>
      <c r="EH80" s="9"/>
      <c r="EI80" s="9"/>
      <c r="EJ80" s="9"/>
      <c r="EK80" s="9"/>
      <c r="EL80" s="9"/>
      <c r="EM80" s="9"/>
      <c r="EN80" s="9"/>
      <c r="EO80" s="9"/>
      <c r="EP80" s="9"/>
      <c r="EQ80" s="9"/>
      <c r="ER80" s="9"/>
      <c r="ES80" s="9"/>
      <c r="ET80" s="9"/>
      <c r="EU80" s="9"/>
      <c r="EV80" s="9"/>
      <c r="EW80" s="9"/>
      <c r="EX80" s="9"/>
      <c r="EY80" s="9"/>
      <c r="EZ80" s="9"/>
      <c r="FA80" s="9"/>
      <c r="FB80" s="9"/>
      <c r="FC80" s="9"/>
      <c r="FD80" s="9"/>
      <c r="FE80" s="9"/>
      <c r="FF80" s="9"/>
      <c r="FG80" s="9"/>
      <c r="FH80" s="9"/>
      <c r="FI80" s="9"/>
    </row>
    <row r="81" spans="1:165" x14ac:dyDescent="0.2">
      <c r="A81" s="1" t="s">
        <v>535</v>
      </c>
      <c r="B81" s="1" t="s">
        <v>536</v>
      </c>
      <c r="C81" s="1" t="s">
        <v>412</v>
      </c>
      <c r="D81" s="1" t="str">
        <f>HYPERLINK("http://eros.fiehnlab.ucdavis.edu:8080/binbase-compound/bin/show/204386?db=rtx5","204386")</f>
        <v>204386</v>
      </c>
      <c r="E81" s="1" t="s">
        <v>537</v>
      </c>
      <c r="F81" s="1" t="str">
        <f>HYPERLINK("http://www.genome.ad.jp/dbget-bin/www_bget?compound+C00064","C00064")</f>
        <v>C00064</v>
      </c>
      <c r="G81" s="1" t="str">
        <f>HYPERLINK("http://pubchem.ncbi.nlm.nih.gov/summary/summary.cgi?cid=5961","5961")</f>
        <v>5961</v>
      </c>
      <c r="H81" s="1"/>
      <c r="I81" s="8">
        <v>31910</v>
      </c>
      <c r="J81" s="8">
        <v>32605</v>
      </c>
      <c r="K81" s="8">
        <v>16714</v>
      </c>
      <c r="L81" s="8">
        <v>16185</v>
      </c>
      <c r="M81" s="8">
        <v>21988</v>
      </c>
      <c r="N81" s="8">
        <v>27680</v>
      </c>
      <c r="O81" s="8">
        <v>17159</v>
      </c>
      <c r="P81" s="8">
        <v>23315</v>
      </c>
      <c r="Q81" s="8">
        <v>17477</v>
      </c>
      <c r="R81" s="8">
        <v>12077</v>
      </c>
      <c r="S81" s="8">
        <v>19748</v>
      </c>
      <c r="T81" s="8">
        <v>34781</v>
      </c>
      <c r="U81" s="8">
        <v>18420</v>
      </c>
      <c r="V81" s="8">
        <v>30342</v>
      </c>
      <c r="W81" s="8">
        <v>24562</v>
      </c>
      <c r="X81" s="8">
        <v>20133</v>
      </c>
      <c r="Y81" s="8">
        <v>26241</v>
      </c>
      <c r="Z81" s="8">
        <v>20632</v>
      </c>
      <c r="AA81" s="8">
        <v>6132</v>
      </c>
      <c r="AB81" s="8">
        <v>4772</v>
      </c>
      <c r="AC81" s="8">
        <v>2261</v>
      </c>
      <c r="AD81" s="8">
        <v>3893</v>
      </c>
      <c r="AE81" s="8">
        <v>4588</v>
      </c>
      <c r="AF81" s="8">
        <v>6566</v>
      </c>
      <c r="AG81" s="8">
        <v>16322</v>
      </c>
      <c r="AH81" s="8">
        <v>30514</v>
      </c>
      <c r="AI81" s="8">
        <v>8657</v>
      </c>
      <c r="AJ81" s="8">
        <v>13692</v>
      </c>
      <c r="AK81" s="8">
        <v>15458</v>
      </c>
      <c r="AL81" s="8">
        <v>12725</v>
      </c>
      <c r="AM81" s="8">
        <v>34784</v>
      </c>
      <c r="AN81" s="8">
        <v>23114</v>
      </c>
      <c r="AO81" s="8">
        <v>17589</v>
      </c>
      <c r="AP81" s="8">
        <v>35909</v>
      </c>
      <c r="AQ81" s="8">
        <v>18824</v>
      </c>
      <c r="AR81" s="8">
        <v>24116</v>
      </c>
      <c r="AS81" s="8">
        <v>17473</v>
      </c>
      <c r="AT81" s="8">
        <v>15849</v>
      </c>
      <c r="AU81" s="8">
        <v>21159</v>
      </c>
      <c r="AV81" s="8">
        <v>32403</v>
      </c>
      <c r="AW81" s="8">
        <v>13622</v>
      </c>
      <c r="AX81" s="8">
        <v>30275</v>
      </c>
      <c r="AY81" s="8">
        <v>2250</v>
      </c>
      <c r="AZ81" s="8">
        <v>4767</v>
      </c>
      <c r="BA81" s="8">
        <v>2135</v>
      </c>
      <c r="BB81" s="8">
        <v>3043</v>
      </c>
      <c r="BC81" s="8">
        <v>3070</v>
      </c>
      <c r="BD81" s="8">
        <v>3457</v>
      </c>
      <c r="BE81" s="8">
        <v>17524</v>
      </c>
      <c r="BF81" s="8">
        <v>25437</v>
      </c>
      <c r="BG81" s="8">
        <v>13800</v>
      </c>
      <c r="BH81" s="8">
        <v>19895</v>
      </c>
      <c r="BI81" s="8">
        <v>20472</v>
      </c>
      <c r="BJ81" s="8">
        <v>13481</v>
      </c>
      <c r="BK81" s="8">
        <v>30632</v>
      </c>
      <c r="BL81" s="8">
        <v>20915</v>
      </c>
      <c r="BM81" s="8">
        <v>23152</v>
      </c>
      <c r="BN81" s="8">
        <v>20033</v>
      </c>
      <c r="BO81" s="8">
        <v>19547</v>
      </c>
      <c r="BP81" s="8">
        <v>12469</v>
      </c>
      <c r="BQ81" s="8">
        <v>17066</v>
      </c>
      <c r="BR81" s="8">
        <v>33486</v>
      </c>
      <c r="BS81" s="8">
        <v>35148</v>
      </c>
      <c r="BT81" s="8">
        <v>19725</v>
      </c>
      <c r="BU81" s="8">
        <v>22392</v>
      </c>
      <c r="BV81" s="8">
        <v>19537</v>
      </c>
      <c r="BW81" s="8">
        <v>2343</v>
      </c>
      <c r="BX81" s="8">
        <v>2441</v>
      </c>
      <c r="BY81" s="8">
        <v>2843</v>
      </c>
      <c r="BZ81" s="8">
        <v>3017</v>
      </c>
      <c r="CA81" s="8">
        <v>3165</v>
      </c>
      <c r="CB81" s="8">
        <v>3721</v>
      </c>
      <c r="CC81" s="8">
        <v>20271</v>
      </c>
      <c r="CD81" s="8">
        <v>18276</v>
      </c>
      <c r="CE81" s="8">
        <v>23917</v>
      </c>
      <c r="CF81" s="8">
        <v>15989</v>
      </c>
      <c r="CG81" s="8">
        <v>26558</v>
      </c>
      <c r="CH81" s="8">
        <v>14561</v>
      </c>
      <c r="CJ81" s="9"/>
      <c r="CK81" s="9"/>
      <c r="CL81" s="9"/>
      <c r="CM81" s="9"/>
      <c r="CN81" s="9"/>
      <c r="CO81" s="9"/>
      <c r="CP81" s="9"/>
      <c r="CQ81" s="9"/>
      <c r="CR81" s="9"/>
      <c r="CS81" s="9"/>
      <c r="CT81" s="9"/>
      <c r="CU81" s="9"/>
      <c r="CV81" s="9"/>
      <c r="CW81" s="9"/>
      <c r="CX81" s="9"/>
      <c r="CY81" s="9"/>
      <c r="CZ81" s="9"/>
      <c r="DA81" s="9"/>
      <c r="DB81" s="9"/>
      <c r="DC81" s="9"/>
      <c r="DD81" s="9"/>
      <c r="DE81" s="9"/>
      <c r="DF81" s="9"/>
      <c r="DG81" s="9"/>
      <c r="DH81" s="9"/>
      <c r="DI81" s="9"/>
      <c r="DJ81" s="9"/>
      <c r="DK81" s="9"/>
      <c r="DL81" s="9"/>
      <c r="DM81" s="9"/>
      <c r="DN81" s="9"/>
      <c r="DO81" s="9"/>
      <c r="DP81" s="9"/>
      <c r="DQ81" s="9"/>
      <c r="DR81" s="9"/>
      <c r="DS81" s="9"/>
      <c r="DT81" s="9"/>
      <c r="DU81" s="9"/>
      <c r="DV81" s="9"/>
      <c r="DW81" s="9"/>
      <c r="DX81" s="9"/>
      <c r="DY81" s="9"/>
      <c r="DZ81" s="9"/>
      <c r="EA81" s="9"/>
      <c r="EB81" s="9"/>
      <c r="EC81" s="9"/>
      <c r="ED81" s="9"/>
      <c r="EE81" s="9"/>
      <c r="EF81" s="9"/>
      <c r="EG81" s="9"/>
      <c r="EH81" s="9"/>
      <c r="EI81" s="9"/>
      <c r="EJ81" s="9"/>
      <c r="EK81" s="9"/>
      <c r="EL81" s="9"/>
      <c r="EM81" s="9"/>
      <c r="EN81" s="9"/>
      <c r="EO81" s="9"/>
      <c r="EP81" s="9"/>
      <c r="EQ81" s="9"/>
      <c r="ER81" s="9"/>
      <c r="ES81" s="9"/>
      <c r="ET81" s="9"/>
      <c r="EU81" s="9"/>
      <c r="EV81" s="9"/>
      <c r="EW81" s="9"/>
      <c r="EX81" s="9"/>
      <c r="EY81" s="9"/>
      <c r="EZ81" s="9"/>
      <c r="FA81" s="9"/>
      <c r="FB81" s="9"/>
      <c r="FC81" s="9"/>
      <c r="FD81" s="9"/>
      <c r="FE81" s="9"/>
      <c r="FF81" s="9"/>
      <c r="FG81" s="9"/>
      <c r="FH81" s="9"/>
      <c r="FI81" s="9"/>
    </row>
    <row r="82" spans="1:165" x14ac:dyDescent="0.2">
      <c r="A82" s="1" t="s">
        <v>538</v>
      </c>
      <c r="B82" s="1" t="s">
        <v>539</v>
      </c>
      <c r="C82" s="1" t="s">
        <v>540</v>
      </c>
      <c r="D82" s="1" t="str">
        <f>HYPERLINK("http://eros.fiehnlab.ucdavis.edu:8080/binbase-compound/bin/show/227977?db=rtx5","227977")</f>
        <v>227977</v>
      </c>
      <c r="E82" s="1" t="s">
        <v>541</v>
      </c>
      <c r="F82" s="1" t="str">
        <f>HYPERLINK("http://www.genome.ad.jp/dbget-bin/www_bget?compound+C00025","C00025")</f>
        <v>C00025</v>
      </c>
      <c r="G82" s="1" t="str">
        <f>HYPERLINK("http://pubchem.ncbi.nlm.nih.gov/summary/summary.cgi?cid=33032","33032")</f>
        <v>33032</v>
      </c>
      <c r="H82" s="1"/>
      <c r="I82" s="8">
        <v>47169</v>
      </c>
      <c r="J82" s="8">
        <v>38589</v>
      </c>
      <c r="K82" s="8">
        <v>35167</v>
      </c>
      <c r="L82" s="8">
        <v>20408</v>
      </c>
      <c r="M82" s="8">
        <v>48206</v>
      </c>
      <c r="N82" s="8">
        <v>35068</v>
      </c>
      <c r="O82" s="8">
        <v>58458</v>
      </c>
      <c r="P82" s="8">
        <v>72330</v>
      </c>
      <c r="Q82" s="8">
        <v>102447</v>
      </c>
      <c r="R82" s="8">
        <v>80982</v>
      </c>
      <c r="S82" s="8">
        <v>80005</v>
      </c>
      <c r="T82" s="8">
        <v>54874</v>
      </c>
      <c r="U82" s="8">
        <v>89032</v>
      </c>
      <c r="V82" s="8">
        <v>102340</v>
      </c>
      <c r="W82" s="8">
        <v>92244</v>
      </c>
      <c r="X82" s="8">
        <v>115599</v>
      </c>
      <c r="Y82" s="8">
        <v>77323</v>
      </c>
      <c r="Z82" s="8">
        <v>80859</v>
      </c>
      <c r="AA82" s="8">
        <v>44762</v>
      </c>
      <c r="AB82" s="8">
        <v>42802</v>
      </c>
      <c r="AC82" s="8">
        <v>55732</v>
      </c>
      <c r="AD82" s="8">
        <v>28085</v>
      </c>
      <c r="AE82" s="8">
        <v>74820</v>
      </c>
      <c r="AF82" s="8">
        <v>37353</v>
      </c>
      <c r="AG82" s="8">
        <v>81457</v>
      </c>
      <c r="AH82" s="8">
        <v>73871</v>
      </c>
      <c r="AI82" s="8">
        <v>60444</v>
      </c>
      <c r="AJ82" s="8">
        <v>125705</v>
      </c>
      <c r="AK82" s="8">
        <v>64108</v>
      </c>
      <c r="AL82" s="8">
        <v>63043</v>
      </c>
      <c r="AM82" s="8">
        <v>127882</v>
      </c>
      <c r="AN82" s="8">
        <v>112579</v>
      </c>
      <c r="AO82" s="8">
        <v>71677</v>
      </c>
      <c r="AP82" s="8">
        <v>116011</v>
      </c>
      <c r="AQ82" s="8">
        <v>89556</v>
      </c>
      <c r="AR82" s="8">
        <v>65574</v>
      </c>
      <c r="AS82" s="8">
        <v>118909</v>
      </c>
      <c r="AT82" s="8">
        <v>111697</v>
      </c>
      <c r="AU82" s="8">
        <v>78468</v>
      </c>
      <c r="AV82" s="8">
        <v>84677</v>
      </c>
      <c r="AW82" s="8">
        <v>156886</v>
      </c>
      <c r="AX82" s="8">
        <v>98879</v>
      </c>
      <c r="AY82" s="8">
        <v>47325</v>
      </c>
      <c r="AZ82" s="8">
        <v>81229</v>
      </c>
      <c r="BA82" s="8">
        <v>64929</v>
      </c>
      <c r="BB82" s="8">
        <v>58845</v>
      </c>
      <c r="BC82" s="8">
        <v>51801</v>
      </c>
      <c r="BD82" s="8">
        <v>50598</v>
      </c>
      <c r="BE82" s="8">
        <v>92508</v>
      </c>
      <c r="BF82" s="8">
        <v>76089</v>
      </c>
      <c r="BG82" s="8">
        <v>60718</v>
      </c>
      <c r="BH82" s="8">
        <v>50970</v>
      </c>
      <c r="BI82" s="8">
        <v>77325</v>
      </c>
      <c r="BJ82" s="8">
        <v>69285</v>
      </c>
      <c r="BK82" s="8">
        <v>88901</v>
      </c>
      <c r="BL82" s="8">
        <v>49866</v>
      </c>
      <c r="BM82" s="8">
        <v>56255</v>
      </c>
      <c r="BN82" s="8">
        <v>88495</v>
      </c>
      <c r="BO82" s="8">
        <v>113413</v>
      </c>
      <c r="BP82" s="8">
        <v>85528</v>
      </c>
      <c r="BQ82" s="8">
        <v>121995</v>
      </c>
      <c r="BR82" s="8">
        <v>92319</v>
      </c>
      <c r="BS82" s="8">
        <v>106560</v>
      </c>
      <c r="BT82" s="8">
        <v>87189</v>
      </c>
      <c r="BU82" s="8">
        <v>73999</v>
      </c>
      <c r="BV82" s="8">
        <v>60404</v>
      </c>
      <c r="BW82" s="8">
        <v>60927</v>
      </c>
      <c r="BX82" s="8">
        <v>39605</v>
      </c>
      <c r="BY82" s="8">
        <v>31530</v>
      </c>
      <c r="BZ82" s="8">
        <v>67483</v>
      </c>
      <c r="CA82" s="8">
        <v>58686</v>
      </c>
      <c r="CB82" s="8">
        <v>29957</v>
      </c>
      <c r="CC82" s="8">
        <v>73495</v>
      </c>
      <c r="CD82" s="8">
        <v>74020</v>
      </c>
      <c r="CE82" s="8">
        <v>73456</v>
      </c>
      <c r="CF82" s="8">
        <v>42882</v>
      </c>
      <c r="CG82" s="8">
        <v>89639</v>
      </c>
      <c r="CH82" s="8">
        <v>81950</v>
      </c>
      <c r="CJ82" s="9"/>
      <c r="CK82" s="9"/>
      <c r="CL82" s="9"/>
      <c r="CM82" s="9"/>
      <c r="CN82" s="9"/>
      <c r="CO82" s="9"/>
      <c r="CP82" s="9"/>
      <c r="CQ82" s="9"/>
      <c r="CR82" s="9"/>
      <c r="CS82" s="9"/>
      <c r="CT82" s="9"/>
      <c r="CU82" s="9"/>
      <c r="CV82" s="9"/>
      <c r="CW82" s="9"/>
      <c r="CX82" s="9"/>
      <c r="CY82" s="9"/>
      <c r="CZ82" s="9"/>
      <c r="DA82" s="9"/>
      <c r="DB82" s="9"/>
      <c r="DC82" s="9"/>
      <c r="DD82" s="9"/>
      <c r="DE82" s="9"/>
      <c r="DF82" s="9"/>
      <c r="DG82" s="9"/>
      <c r="DH82" s="9"/>
      <c r="DI82" s="9"/>
      <c r="DJ82" s="9"/>
      <c r="DK82" s="9"/>
      <c r="DL82" s="9"/>
      <c r="DM82" s="9"/>
      <c r="DN82" s="9"/>
      <c r="DO82" s="9"/>
      <c r="DP82" s="9"/>
      <c r="DQ82" s="9"/>
      <c r="DR82" s="9"/>
      <c r="DS82" s="9"/>
      <c r="DT82" s="9"/>
      <c r="DU82" s="9"/>
      <c r="DV82" s="9"/>
      <c r="DW82" s="9"/>
      <c r="DX82" s="9"/>
      <c r="DY82" s="9"/>
      <c r="DZ82" s="9"/>
      <c r="EA82" s="9"/>
      <c r="EB82" s="9"/>
      <c r="EC82" s="9"/>
      <c r="ED82" s="9"/>
      <c r="EE82" s="9"/>
      <c r="EF82" s="9"/>
      <c r="EG82" s="9"/>
      <c r="EH82" s="9"/>
      <c r="EI82" s="9"/>
      <c r="EJ82" s="9"/>
      <c r="EK82" s="9"/>
      <c r="EL82" s="9"/>
      <c r="EM82" s="9"/>
      <c r="EN82" s="9"/>
      <c r="EO82" s="9"/>
      <c r="EP82" s="9"/>
      <c r="EQ82" s="9"/>
      <c r="ER82" s="9"/>
      <c r="ES82" s="9"/>
      <c r="ET82" s="9"/>
      <c r="EU82" s="9"/>
      <c r="EV82" s="9"/>
      <c r="EW82" s="9"/>
      <c r="EX82" s="9"/>
      <c r="EY82" s="9"/>
      <c r="EZ82" s="9"/>
      <c r="FA82" s="9"/>
      <c r="FB82" s="9"/>
      <c r="FC82" s="9"/>
      <c r="FD82" s="9"/>
      <c r="FE82" s="9"/>
      <c r="FF82" s="9"/>
      <c r="FG82" s="9"/>
      <c r="FH82" s="9"/>
      <c r="FI82" s="9"/>
    </row>
    <row r="83" spans="1:165" x14ac:dyDescent="0.2">
      <c r="A83" s="1" t="s">
        <v>1421</v>
      </c>
      <c r="B83" s="1" t="s">
        <v>542</v>
      </c>
      <c r="C83" s="1" t="s">
        <v>453</v>
      </c>
      <c r="D83" s="1" t="str">
        <f>HYPERLINK("http://eros.fiehnlab.ucdavis.edu:8080/binbase-compound/bin/show/199915?db=rtx5","199915")</f>
        <v>199915</v>
      </c>
      <c r="E83" s="1" t="s">
        <v>543</v>
      </c>
      <c r="F83" s="1" t="str">
        <f>HYPERLINK("http://www.genome.ad.jp/dbget-bin/www_bget?compound+C00092","C00092")</f>
        <v>C00092</v>
      </c>
      <c r="G83" s="1" t="str">
        <f>HYPERLINK("http://pubchem.ncbi.nlm.nih.gov/summary/summary.cgi?cid=5958","5958")</f>
        <v>5958</v>
      </c>
      <c r="H83" s="1"/>
      <c r="I83" s="8">
        <v>509</v>
      </c>
      <c r="J83" s="8">
        <v>392</v>
      </c>
      <c r="K83" s="8">
        <v>556</v>
      </c>
      <c r="L83" s="8">
        <v>517</v>
      </c>
      <c r="M83" s="8">
        <v>495</v>
      </c>
      <c r="N83" s="8">
        <v>522</v>
      </c>
      <c r="O83" s="8">
        <v>1453</v>
      </c>
      <c r="P83" s="8">
        <v>1839</v>
      </c>
      <c r="Q83" s="8">
        <v>1950</v>
      </c>
      <c r="R83" s="8">
        <v>2088</v>
      </c>
      <c r="S83" s="8">
        <v>1896</v>
      </c>
      <c r="T83" s="8">
        <v>931</v>
      </c>
      <c r="U83" s="8">
        <v>918</v>
      </c>
      <c r="V83" s="8">
        <v>1046</v>
      </c>
      <c r="W83" s="8">
        <v>1239</v>
      </c>
      <c r="X83" s="8">
        <v>889</v>
      </c>
      <c r="Y83" s="8">
        <v>992</v>
      </c>
      <c r="Z83" s="8">
        <v>1173</v>
      </c>
      <c r="AA83" s="8">
        <v>719</v>
      </c>
      <c r="AB83" s="8">
        <v>1327</v>
      </c>
      <c r="AC83" s="8">
        <v>1577</v>
      </c>
      <c r="AD83" s="8">
        <v>1129</v>
      </c>
      <c r="AE83" s="8">
        <v>1807</v>
      </c>
      <c r="AF83" s="8">
        <v>1035</v>
      </c>
      <c r="AG83" s="8">
        <v>813</v>
      </c>
      <c r="AH83" s="8">
        <v>1327</v>
      </c>
      <c r="AI83" s="8">
        <v>798</v>
      </c>
      <c r="AJ83" s="8">
        <v>1534</v>
      </c>
      <c r="AK83" s="8">
        <v>919</v>
      </c>
      <c r="AL83" s="8">
        <v>1685</v>
      </c>
      <c r="AM83" s="8">
        <v>1838</v>
      </c>
      <c r="AN83" s="8">
        <v>2315</v>
      </c>
      <c r="AO83" s="8">
        <v>1694</v>
      </c>
      <c r="AP83" s="8">
        <v>1832</v>
      </c>
      <c r="AQ83" s="8">
        <v>2062</v>
      </c>
      <c r="AR83" s="8">
        <v>1584</v>
      </c>
      <c r="AS83" s="8">
        <v>509</v>
      </c>
      <c r="AT83" s="8">
        <v>582</v>
      </c>
      <c r="AU83" s="8">
        <v>706</v>
      </c>
      <c r="AV83" s="8">
        <v>571</v>
      </c>
      <c r="AW83" s="8">
        <v>693</v>
      </c>
      <c r="AX83" s="8">
        <v>634</v>
      </c>
      <c r="AY83" s="8">
        <v>275</v>
      </c>
      <c r="AZ83" s="8">
        <v>145</v>
      </c>
      <c r="BA83" s="8">
        <v>147</v>
      </c>
      <c r="BB83" s="8">
        <v>501</v>
      </c>
      <c r="BC83" s="8">
        <v>148</v>
      </c>
      <c r="BD83" s="8">
        <v>225</v>
      </c>
      <c r="BE83" s="8">
        <v>324</v>
      </c>
      <c r="BF83" s="8">
        <v>1405</v>
      </c>
      <c r="BG83" s="8">
        <v>255</v>
      </c>
      <c r="BH83" s="8">
        <v>513</v>
      </c>
      <c r="BI83" s="8">
        <v>747</v>
      </c>
      <c r="BJ83" s="8">
        <v>346</v>
      </c>
      <c r="BK83" s="8">
        <v>2074</v>
      </c>
      <c r="BL83" s="8">
        <v>1651</v>
      </c>
      <c r="BM83" s="8">
        <v>1940</v>
      </c>
      <c r="BN83" s="8">
        <v>1617</v>
      </c>
      <c r="BO83" s="8">
        <v>1797</v>
      </c>
      <c r="BP83" s="8">
        <v>1642</v>
      </c>
      <c r="BQ83" s="8">
        <v>1630</v>
      </c>
      <c r="BR83" s="8">
        <v>1494</v>
      </c>
      <c r="BS83" s="8">
        <v>1733</v>
      </c>
      <c r="BT83" s="8">
        <v>1330</v>
      </c>
      <c r="BU83" s="8">
        <v>1460</v>
      </c>
      <c r="BV83" s="8">
        <v>1364</v>
      </c>
      <c r="BW83" s="8">
        <v>1316</v>
      </c>
      <c r="BX83" s="8">
        <v>1472</v>
      </c>
      <c r="BY83" s="8">
        <v>1213</v>
      </c>
      <c r="BZ83" s="8">
        <v>1377</v>
      </c>
      <c r="CA83" s="8">
        <v>1173</v>
      </c>
      <c r="CB83" s="8">
        <v>1123</v>
      </c>
      <c r="CC83" s="8">
        <v>1689</v>
      </c>
      <c r="CD83" s="8">
        <v>1303</v>
      </c>
      <c r="CE83" s="8">
        <v>1370</v>
      </c>
      <c r="CF83" s="8">
        <v>1356</v>
      </c>
      <c r="CG83" s="8">
        <v>1417</v>
      </c>
      <c r="CH83" s="8">
        <v>1510</v>
      </c>
      <c r="CJ83" s="9"/>
      <c r="CK83" s="9"/>
      <c r="CL83" s="9"/>
      <c r="CM83" s="9"/>
      <c r="CN83" s="9"/>
      <c r="CO83" s="9"/>
      <c r="CP83" s="9"/>
      <c r="CQ83" s="9"/>
      <c r="CR83" s="9"/>
      <c r="CS83" s="9"/>
      <c r="CT83" s="9"/>
      <c r="CU83" s="9"/>
      <c r="CV83" s="9"/>
      <c r="CW83" s="9"/>
      <c r="CX83" s="9"/>
      <c r="CY83" s="9"/>
      <c r="CZ83" s="9"/>
      <c r="DA83" s="9"/>
      <c r="DB83" s="9"/>
      <c r="DC83" s="9"/>
      <c r="DD83" s="9"/>
      <c r="DE83" s="9"/>
      <c r="DF83" s="9"/>
      <c r="DG83" s="9"/>
      <c r="DH83" s="9"/>
      <c r="DI83" s="9"/>
      <c r="DJ83" s="9"/>
      <c r="DK83" s="9"/>
      <c r="DL83" s="9"/>
      <c r="DM83" s="9"/>
      <c r="DN83" s="9"/>
      <c r="DO83" s="9"/>
      <c r="DP83" s="9"/>
      <c r="DQ83" s="9"/>
      <c r="DR83" s="9"/>
      <c r="DS83" s="9"/>
      <c r="DT83" s="9"/>
      <c r="DU83" s="9"/>
      <c r="DV83" s="9"/>
      <c r="DW83" s="9"/>
      <c r="DX83" s="9"/>
      <c r="DY83" s="9"/>
      <c r="DZ83" s="9"/>
      <c r="EA83" s="9"/>
      <c r="EB83" s="9"/>
      <c r="EC83" s="9"/>
      <c r="ED83" s="9"/>
      <c r="EE83" s="9"/>
      <c r="EF83" s="9"/>
      <c r="EG83" s="9"/>
      <c r="EH83" s="9"/>
      <c r="EI83" s="9"/>
      <c r="EJ83" s="9"/>
      <c r="EK83" s="9"/>
      <c r="EL83" s="9"/>
      <c r="EM83" s="9"/>
      <c r="EN83" s="9"/>
      <c r="EO83" s="9"/>
      <c r="EP83" s="9"/>
      <c r="EQ83" s="9"/>
      <c r="ER83" s="9"/>
      <c r="ES83" s="9"/>
      <c r="ET83" s="9"/>
      <c r="EU83" s="9"/>
      <c r="EV83" s="9"/>
      <c r="EW83" s="9"/>
      <c r="EX83" s="9"/>
      <c r="EY83" s="9"/>
      <c r="EZ83" s="9"/>
      <c r="FA83" s="9"/>
      <c r="FB83" s="9"/>
      <c r="FC83" s="9"/>
      <c r="FD83" s="9"/>
      <c r="FE83" s="9"/>
      <c r="FF83" s="9"/>
      <c r="FG83" s="9"/>
      <c r="FH83" s="9"/>
      <c r="FI83" s="9"/>
    </row>
    <row r="84" spans="1:165" x14ac:dyDescent="0.2">
      <c r="A84" s="1" t="s">
        <v>1420</v>
      </c>
      <c r="B84" s="1" t="s">
        <v>544</v>
      </c>
      <c r="C84" s="1" t="s">
        <v>314</v>
      </c>
      <c r="D84" s="1" t="str">
        <f>HYPERLINK("http://eros.fiehnlab.ucdavis.edu:8080/binbase-compound/bin/show/219881?db=rtx5","219881")</f>
        <v>219881</v>
      </c>
      <c r="E84" s="1" t="s">
        <v>545</v>
      </c>
      <c r="F84" s="1" t="str">
        <f>HYPERLINK("http://www.genome.ad.jp/dbget-bin/www_bget?compound+C00031","C00031")</f>
        <v>C00031</v>
      </c>
      <c r="G84" s="1" t="str">
        <f>HYPERLINK("http://pubchem.ncbi.nlm.nih.gov/summary/summary.cgi?cid=5793","5793")</f>
        <v>5793</v>
      </c>
      <c r="H84" s="1"/>
      <c r="I84" s="8">
        <v>57587</v>
      </c>
      <c r="J84" s="8">
        <v>31016</v>
      </c>
      <c r="K84" s="8">
        <v>47523</v>
      </c>
      <c r="L84" s="8">
        <v>65304</v>
      </c>
      <c r="M84" s="8">
        <v>34765</v>
      </c>
      <c r="N84" s="8">
        <v>39410</v>
      </c>
      <c r="O84" s="8">
        <v>151200</v>
      </c>
      <c r="P84" s="8">
        <v>33923</v>
      </c>
      <c r="Q84" s="8">
        <v>86192</v>
      </c>
      <c r="R84" s="8">
        <v>64581</v>
      </c>
      <c r="S84" s="8">
        <v>62048</v>
      </c>
      <c r="T84" s="8">
        <v>34660</v>
      </c>
      <c r="U84" s="8">
        <v>36834</v>
      </c>
      <c r="V84" s="8">
        <v>41398</v>
      </c>
      <c r="W84" s="8">
        <v>110724</v>
      </c>
      <c r="X84" s="8">
        <v>45976</v>
      </c>
      <c r="Y84" s="8">
        <v>64279</v>
      </c>
      <c r="Z84" s="8">
        <v>37790</v>
      </c>
      <c r="AA84" s="8">
        <v>324956</v>
      </c>
      <c r="AB84" s="8">
        <v>6343</v>
      </c>
      <c r="AC84" s="8">
        <v>21939</v>
      </c>
      <c r="AD84" s="8">
        <v>14597</v>
      </c>
      <c r="AE84" s="8">
        <v>26005</v>
      </c>
      <c r="AF84" s="8">
        <v>201734</v>
      </c>
      <c r="AG84" s="8">
        <v>20410</v>
      </c>
      <c r="AH84" s="8">
        <v>47596</v>
      </c>
      <c r="AI84" s="8">
        <v>19107</v>
      </c>
      <c r="AJ84" s="8">
        <v>36777</v>
      </c>
      <c r="AK84" s="8">
        <v>28520</v>
      </c>
      <c r="AL84" s="8">
        <v>48113</v>
      </c>
      <c r="AM84" s="8">
        <v>21217</v>
      </c>
      <c r="AN84" s="8">
        <v>84664</v>
      </c>
      <c r="AO84" s="8">
        <v>17353</v>
      </c>
      <c r="AP84" s="8">
        <v>116480</v>
      </c>
      <c r="AQ84" s="8">
        <v>85147</v>
      </c>
      <c r="AR84" s="8">
        <v>141555</v>
      </c>
      <c r="AS84" s="8">
        <v>14217</v>
      </c>
      <c r="AT84" s="8">
        <v>17452</v>
      </c>
      <c r="AU84" s="8">
        <v>29612</v>
      </c>
      <c r="AV84" s="8">
        <v>18731</v>
      </c>
      <c r="AW84" s="8">
        <v>28289</v>
      </c>
      <c r="AX84" s="8">
        <v>12437</v>
      </c>
      <c r="AY84" s="8">
        <v>980</v>
      </c>
      <c r="AZ84" s="8">
        <v>92555</v>
      </c>
      <c r="BA84" s="8">
        <v>18900</v>
      </c>
      <c r="BB84" s="8">
        <v>1981</v>
      </c>
      <c r="BC84" s="8">
        <v>6981</v>
      </c>
      <c r="BD84" s="8">
        <v>1518</v>
      </c>
      <c r="BE84" s="8">
        <v>5340</v>
      </c>
      <c r="BF84" s="8">
        <v>25587</v>
      </c>
      <c r="BG84" s="8">
        <v>4639</v>
      </c>
      <c r="BH84" s="8">
        <v>70553</v>
      </c>
      <c r="BI84" s="8">
        <v>7150</v>
      </c>
      <c r="BJ84" s="8">
        <v>5955</v>
      </c>
      <c r="BK84" s="8">
        <v>42091</v>
      </c>
      <c r="BL84" s="8">
        <v>10619</v>
      </c>
      <c r="BM84" s="8">
        <v>15782</v>
      </c>
      <c r="BN84" s="8">
        <v>170049</v>
      </c>
      <c r="BO84" s="8">
        <v>23300</v>
      </c>
      <c r="BP84" s="8">
        <v>12330</v>
      </c>
      <c r="BQ84" s="8">
        <v>22703</v>
      </c>
      <c r="BR84" s="8">
        <v>36699</v>
      </c>
      <c r="BS84" s="8">
        <v>15982</v>
      </c>
      <c r="BT84" s="8">
        <v>22451</v>
      </c>
      <c r="BU84" s="8">
        <v>35043</v>
      </c>
      <c r="BV84" s="8">
        <v>19937</v>
      </c>
      <c r="BW84" s="8">
        <v>8248</v>
      </c>
      <c r="BX84" s="8">
        <v>4096</v>
      </c>
      <c r="BY84" s="8">
        <v>1363</v>
      </c>
      <c r="BZ84" s="8">
        <v>2326</v>
      </c>
      <c r="CA84" s="8">
        <v>4430</v>
      </c>
      <c r="CB84" s="8">
        <v>122216</v>
      </c>
      <c r="CC84" s="8">
        <v>75451</v>
      </c>
      <c r="CD84" s="8">
        <v>6948</v>
      </c>
      <c r="CE84" s="8">
        <v>13844</v>
      </c>
      <c r="CF84" s="8">
        <v>17333</v>
      </c>
      <c r="CG84" s="8">
        <v>8680</v>
      </c>
      <c r="CH84" s="8">
        <v>17760</v>
      </c>
      <c r="CJ84" s="9"/>
      <c r="CK84" s="9"/>
      <c r="CL84" s="9"/>
      <c r="CM84" s="9"/>
      <c r="CN84" s="9"/>
      <c r="CO84" s="9"/>
      <c r="CP84" s="9"/>
      <c r="CQ84" s="9"/>
      <c r="CR84" s="9"/>
      <c r="CS84" s="9"/>
      <c r="CT84" s="9"/>
      <c r="CU84" s="9"/>
      <c r="CV84" s="9"/>
      <c r="CW84" s="9"/>
      <c r="CX84" s="9"/>
      <c r="CY84" s="9"/>
      <c r="CZ84" s="9"/>
      <c r="DA84" s="9"/>
      <c r="DB84" s="9"/>
      <c r="DC84" s="9"/>
      <c r="DD84" s="9"/>
      <c r="DE84" s="9"/>
      <c r="DF84" s="9"/>
      <c r="DG84" s="9"/>
      <c r="DH84" s="9"/>
      <c r="DI84" s="9"/>
      <c r="DJ84" s="9"/>
      <c r="DK84" s="9"/>
      <c r="DL84" s="9"/>
      <c r="DM84" s="9"/>
      <c r="DN84" s="9"/>
      <c r="DO84" s="9"/>
      <c r="DP84" s="9"/>
      <c r="DQ84" s="9"/>
      <c r="DR84" s="9"/>
      <c r="DS84" s="9"/>
      <c r="DT84" s="9"/>
      <c r="DU84" s="9"/>
      <c r="DV84" s="9"/>
      <c r="DW84" s="9"/>
      <c r="DX84" s="9"/>
      <c r="DY84" s="9"/>
      <c r="DZ84" s="9"/>
      <c r="EA84" s="9"/>
      <c r="EB84" s="9"/>
      <c r="EC84" s="9"/>
      <c r="ED84" s="9"/>
      <c r="EE84" s="9"/>
      <c r="EF84" s="9"/>
      <c r="EG84" s="9"/>
      <c r="EH84" s="9"/>
      <c r="EI84" s="9"/>
      <c r="EJ84" s="9"/>
      <c r="EK84" s="9"/>
      <c r="EL84" s="9"/>
      <c r="EM84" s="9"/>
      <c r="EN84" s="9"/>
      <c r="EO84" s="9"/>
      <c r="EP84" s="9"/>
      <c r="EQ84" s="9"/>
      <c r="ER84" s="9"/>
      <c r="ES84" s="9"/>
      <c r="ET84" s="9"/>
      <c r="EU84" s="9"/>
      <c r="EV84" s="9"/>
      <c r="EW84" s="9"/>
      <c r="EX84" s="9"/>
      <c r="EY84" s="9"/>
      <c r="EZ84" s="9"/>
      <c r="FA84" s="9"/>
      <c r="FB84" s="9"/>
      <c r="FC84" s="9"/>
      <c r="FD84" s="9"/>
      <c r="FE84" s="9"/>
      <c r="FF84" s="9"/>
      <c r="FG84" s="9"/>
      <c r="FH84" s="9"/>
      <c r="FI84" s="9"/>
    </row>
    <row r="85" spans="1:165" x14ac:dyDescent="0.2">
      <c r="A85" s="1" t="s">
        <v>1422</v>
      </c>
      <c r="B85" s="1" t="s">
        <v>546</v>
      </c>
      <c r="C85" s="1" t="s">
        <v>371</v>
      </c>
      <c r="D85" s="1" t="str">
        <f>HYPERLINK("http://eros.fiehnlab.ucdavis.edu:8080/binbase-compound/bin/show/214410?db=rtx5","214410")</f>
        <v>214410</v>
      </c>
      <c r="E85" s="1" t="s">
        <v>547</v>
      </c>
      <c r="F85" s="1" t="str">
        <f>HYPERLINK("http://www.genome.ad.jp/dbget-bin/www_bget?compound+C00198","C00198")</f>
        <v>C00198</v>
      </c>
      <c r="G85" s="1" t="str">
        <f>HYPERLINK("http://pubchem.ncbi.nlm.nih.gov/summary/summary.cgi?cid=7027","7027")</f>
        <v>7027</v>
      </c>
      <c r="H85" s="1"/>
      <c r="I85" s="8">
        <v>4715</v>
      </c>
      <c r="J85" s="8">
        <v>555</v>
      </c>
      <c r="K85" s="8">
        <v>6834</v>
      </c>
      <c r="L85" s="8">
        <v>6082</v>
      </c>
      <c r="M85" s="8">
        <v>6576</v>
      </c>
      <c r="N85" s="8">
        <v>6555</v>
      </c>
      <c r="O85" s="8">
        <v>598</v>
      </c>
      <c r="P85" s="8">
        <v>325</v>
      </c>
      <c r="Q85" s="8">
        <v>303</v>
      </c>
      <c r="R85" s="8">
        <v>221</v>
      </c>
      <c r="S85" s="8">
        <v>311</v>
      </c>
      <c r="T85" s="8">
        <v>56</v>
      </c>
      <c r="U85" s="8">
        <v>261</v>
      </c>
      <c r="V85" s="8">
        <v>292</v>
      </c>
      <c r="W85" s="8">
        <v>362</v>
      </c>
      <c r="X85" s="8">
        <v>251</v>
      </c>
      <c r="Y85" s="8">
        <v>297</v>
      </c>
      <c r="Z85" s="8">
        <v>191</v>
      </c>
      <c r="AA85" s="8">
        <v>779</v>
      </c>
      <c r="AB85" s="8">
        <v>162</v>
      </c>
      <c r="AC85" s="8">
        <v>194</v>
      </c>
      <c r="AD85" s="8">
        <v>204</v>
      </c>
      <c r="AE85" s="8">
        <v>165</v>
      </c>
      <c r="AF85" s="8">
        <v>667</v>
      </c>
      <c r="AG85" s="8">
        <v>173</v>
      </c>
      <c r="AH85" s="8">
        <v>258</v>
      </c>
      <c r="AI85" s="8">
        <v>222</v>
      </c>
      <c r="AJ85" s="8">
        <v>199</v>
      </c>
      <c r="AK85" s="8">
        <v>253</v>
      </c>
      <c r="AL85" s="8">
        <v>305</v>
      </c>
      <c r="AM85" s="8">
        <v>252</v>
      </c>
      <c r="AN85" s="8">
        <v>435</v>
      </c>
      <c r="AO85" s="8">
        <v>182</v>
      </c>
      <c r="AP85" s="8">
        <v>322</v>
      </c>
      <c r="AQ85" s="8">
        <v>373</v>
      </c>
      <c r="AR85" s="8">
        <v>555</v>
      </c>
      <c r="AS85" s="8">
        <v>186</v>
      </c>
      <c r="AT85" s="8">
        <v>225</v>
      </c>
      <c r="AU85" s="8">
        <v>283</v>
      </c>
      <c r="AV85" s="8">
        <v>256</v>
      </c>
      <c r="AW85" s="8">
        <v>216</v>
      </c>
      <c r="AX85" s="8">
        <v>197</v>
      </c>
      <c r="AY85" s="8">
        <v>139</v>
      </c>
      <c r="AZ85" s="8">
        <v>319</v>
      </c>
      <c r="BA85" s="8">
        <v>132</v>
      </c>
      <c r="BB85" s="8">
        <v>153</v>
      </c>
      <c r="BC85" s="8">
        <v>151</v>
      </c>
      <c r="BD85" s="8">
        <v>128</v>
      </c>
      <c r="BE85" s="8">
        <v>176</v>
      </c>
      <c r="BF85" s="8">
        <v>255</v>
      </c>
      <c r="BG85" s="8">
        <v>262</v>
      </c>
      <c r="BH85" s="8">
        <v>288</v>
      </c>
      <c r="BI85" s="8">
        <v>267</v>
      </c>
      <c r="BJ85" s="8">
        <v>223</v>
      </c>
      <c r="BK85" s="8">
        <v>1151</v>
      </c>
      <c r="BL85" s="8">
        <v>1109</v>
      </c>
      <c r="BM85" s="8">
        <v>690</v>
      </c>
      <c r="BN85" s="8">
        <v>687</v>
      </c>
      <c r="BO85" s="8">
        <v>494</v>
      </c>
      <c r="BP85" s="8">
        <v>983</v>
      </c>
      <c r="BQ85" s="8">
        <v>420</v>
      </c>
      <c r="BR85" s="8">
        <v>712</v>
      </c>
      <c r="BS85" s="8">
        <v>887</v>
      </c>
      <c r="BT85" s="8">
        <v>1061</v>
      </c>
      <c r="BU85" s="8">
        <v>1207</v>
      </c>
      <c r="BV85" s="8">
        <v>1445</v>
      </c>
      <c r="BW85" s="8">
        <v>413</v>
      </c>
      <c r="BX85" s="8">
        <v>473</v>
      </c>
      <c r="BY85" s="8">
        <v>901</v>
      </c>
      <c r="BZ85" s="8">
        <v>374</v>
      </c>
      <c r="CA85" s="8">
        <v>528</v>
      </c>
      <c r="CB85" s="8">
        <v>692</v>
      </c>
      <c r="CC85" s="8">
        <v>1112</v>
      </c>
      <c r="CD85" s="8">
        <v>1000</v>
      </c>
      <c r="CE85" s="8">
        <v>1041</v>
      </c>
      <c r="CF85" s="8">
        <v>1469</v>
      </c>
      <c r="CG85" s="8">
        <v>537</v>
      </c>
      <c r="CH85" s="8">
        <v>987</v>
      </c>
      <c r="CJ85" s="9"/>
      <c r="CK85" s="9"/>
      <c r="CL85" s="9"/>
      <c r="CM85" s="9"/>
      <c r="CN85" s="9"/>
      <c r="CO85" s="9"/>
      <c r="CP85" s="9"/>
      <c r="CQ85" s="9"/>
      <c r="CR85" s="9"/>
      <c r="CS85" s="9"/>
      <c r="CT85" s="9"/>
      <c r="CU85" s="9"/>
      <c r="CV85" s="9"/>
      <c r="CW85" s="9"/>
      <c r="CX85" s="9"/>
      <c r="CY85" s="9"/>
      <c r="CZ85" s="9"/>
      <c r="DA85" s="9"/>
      <c r="DB85" s="9"/>
      <c r="DC85" s="9"/>
      <c r="DD85" s="9"/>
      <c r="DE85" s="9"/>
      <c r="DF85" s="9"/>
      <c r="DG85" s="9"/>
      <c r="DH85" s="9"/>
      <c r="DI85" s="9"/>
      <c r="DJ85" s="9"/>
      <c r="DK85" s="9"/>
      <c r="DL85" s="9"/>
      <c r="DM85" s="9"/>
      <c r="DN85" s="9"/>
      <c r="DO85" s="9"/>
      <c r="DP85" s="9"/>
      <c r="DQ85" s="9"/>
      <c r="DR85" s="9"/>
      <c r="DS85" s="9"/>
      <c r="DT85" s="9"/>
      <c r="DU85" s="9"/>
      <c r="DV85" s="9"/>
      <c r="DW85" s="9"/>
      <c r="DX85" s="9"/>
      <c r="DY85" s="9"/>
      <c r="DZ85" s="9"/>
      <c r="EA85" s="9"/>
      <c r="EB85" s="9"/>
      <c r="EC85" s="9"/>
      <c r="ED85" s="9"/>
      <c r="EE85" s="9"/>
      <c r="EF85" s="9"/>
      <c r="EG85" s="9"/>
      <c r="EH85" s="9"/>
      <c r="EI85" s="9"/>
      <c r="EJ85" s="9"/>
      <c r="EK85" s="9"/>
      <c r="EL85" s="9"/>
      <c r="EM85" s="9"/>
      <c r="EN85" s="9"/>
      <c r="EO85" s="9"/>
      <c r="EP85" s="9"/>
      <c r="EQ85" s="9"/>
      <c r="ER85" s="9"/>
      <c r="ES85" s="9"/>
      <c r="ET85" s="9"/>
      <c r="EU85" s="9"/>
      <c r="EV85" s="9"/>
      <c r="EW85" s="9"/>
      <c r="EX85" s="9"/>
      <c r="EY85" s="9"/>
      <c r="EZ85" s="9"/>
      <c r="FA85" s="9"/>
      <c r="FB85" s="9"/>
      <c r="FC85" s="9"/>
      <c r="FD85" s="9"/>
      <c r="FE85" s="9"/>
      <c r="FF85" s="9"/>
      <c r="FG85" s="9"/>
      <c r="FH85" s="9"/>
      <c r="FI85" s="9"/>
    </row>
    <row r="86" spans="1:165" x14ac:dyDescent="0.2">
      <c r="A86" s="1" t="s">
        <v>548</v>
      </c>
      <c r="B86" s="1" t="s">
        <v>549</v>
      </c>
      <c r="C86" s="1" t="s">
        <v>346</v>
      </c>
      <c r="D86" s="1" t="str">
        <f>HYPERLINK("http://eros.fiehnlab.ucdavis.edu:8080/binbase-compound/bin/show/211990?db=rtx5","211990")</f>
        <v>211990</v>
      </c>
      <c r="E86" s="1" t="s">
        <v>550</v>
      </c>
      <c r="F86" s="1" t="str">
        <f>HYPERLINK("http://www.genome.ad.jp/dbget-bin/www_bget?compound+C00257","C00257")</f>
        <v>C00257</v>
      </c>
      <c r="G86" s="1" t="str">
        <f>HYPERLINK("http://pubchem.ncbi.nlm.nih.gov/summary/summary.cgi?cid=10690","10690")</f>
        <v>10690</v>
      </c>
      <c r="H86" s="1"/>
      <c r="I86" s="8">
        <v>304</v>
      </c>
      <c r="J86" s="8">
        <v>234</v>
      </c>
      <c r="K86" s="8">
        <v>270</v>
      </c>
      <c r="L86" s="8">
        <v>239</v>
      </c>
      <c r="M86" s="8">
        <v>70</v>
      </c>
      <c r="N86" s="8">
        <v>87</v>
      </c>
      <c r="O86" s="8">
        <v>158</v>
      </c>
      <c r="P86" s="8">
        <v>223</v>
      </c>
      <c r="Q86" s="8">
        <v>128</v>
      </c>
      <c r="R86" s="8">
        <v>108</v>
      </c>
      <c r="S86" s="8">
        <v>108</v>
      </c>
      <c r="T86" s="8">
        <v>80</v>
      </c>
      <c r="U86" s="8">
        <v>206</v>
      </c>
      <c r="V86" s="8">
        <v>186</v>
      </c>
      <c r="W86" s="8">
        <v>180</v>
      </c>
      <c r="X86" s="8">
        <v>102</v>
      </c>
      <c r="Y86" s="8">
        <v>59</v>
      </c>
      <c r="Z86" s="8">
        <v>66</v>
      </c>
      <c r="AA86" s="8">
        <v>34</v>
      </c>
      <c r="AB86" s="8">
        <v>115</v>
      </c>
      <c r="AC86" s="8">
        <v>148</v>
      </c>
      <c r="AD86" s="8">
        <v>109</v>
      </c>
      <c r="AE86" s="8">
        <v>153</v>
      </c>
      <c r="AF86" s="8">
        <v>55</v>
      </c>
      <c r="AG86" s="8">
        <v>159</v>
      </c>
      <c r="AH86" s="8">
        <v>141</v>
      </c>
      <c r="AI86" s="8">
        <v>122</v>
      </c>
      <c r="AJ86" s="8">
        <v>164</v>
      </c>
      <c r="AK86" s="8">
        <v>166</v>
      </c>
      <c r="AL86" s="8">
        <v>85</v>
      </c>
      <c r="AM86" s="8">
        <v>209</v>
      </c>
      <c r="AN86" s="8">
        <v>118</v>
      </c>
      <c r="AO86" s="8">
        <v>161</v>
      </c>
      <c r="AP86" s="8">
        <v>135</v>
      </c>
      <c r="AQ86" s="8">
        <v>93</v>
      </c>
      <c r="AR86" s="8">
        <v>61</v>
      </c>
      <c r="AS86" s="8">
        <v>196</v>
      </c>
      <c r="AT86" s="8">
        <v>184</v>
      </c>
      <c r="AU86" s="8">
        <v>190</v>
      </c>
      <c r="AV86" s="8">
        <v>176</v>
      </c>
      <c r="AW86" s="8">
        <v>134</v>
      </c>
      <c r="AX86" s="8">
        <v>98</v>
      </c>
      <c r="AY86" s="8">
        <v>99</v>
      </c>
      <c r="AZ86" s="8">
        <v>88</v>
      </c>
      <c r="BA86" s="8">
        <v>100</v>
      </c>
      <c r="BB86" s="8">
        <v>70</v>
      </c>
      <c r="BC86" s="8">
        <v>86</v>
      </c>
      <c r="BD86" s="8">
        <v>83</v>
      </c>
      <c r="BE86" s="8">
        <v>225</v>
      </c>
      <c r="BF86" s="8">
        <v>134</v>
      </c>
      <c r="BG86" s="8">
        <v>185</v>
      </c>
      <c r="BH86" s="8">
        <v>155</v>
      </c>
      <c r="BI86" s="8">
        <v>121</v>
      </c>
      <c r="BJ86" s="8">
        <v>108</v>
      </c>
      <c r="BK86" s="8">
        <v>130</v>
      </c>
      <c r="BL86" s="8">
        <v>172</v>
      </c>
      <c r="BM86" s="8">
        <v>176</v>
      </c>
      <c r="BN86" s="8">
        <v>99</v>
      </c>
      <c r="BO86" s="8">
        <v>209</v>
      </c>
      <c r="BP86" s="8">
        <v>141</v>
      </c>
      <c r="BQ86" s="8">
        <v>120</v>
      </c>
      <c r="BR86" s="8">
        <v>166</v>
      </c>
      <c r="BS86" s="8">
        <v>167</v>
      </c>
      <c r="BT86" s="8">
        <v>81</v>
      </c>
      <c r="BU86" s="8">
        <v>80</v>
      </c>
      <c r="BV86" s="8">
        <v>55</v>
      </c>
      <c r="BW86" s="8">
        <v>111</v>
      </c>
      <c r="BX86" s="8">
        <v>85</v>
      </c>
      <c r="BY86" s="8">
        <v>101</v>
      </c>
      <c r="BZ86" s="8">
        <v>55</v>
      </c>
      <c r="CA86" s="8">
        <v>90</v>
      </c>
      <c r="CB86" s="8">
        <v>58</v>
      </c>
      <c r="CC86" s="8">
        <v>210</v>
      </c>
      <c r="CD86" s="8">
        <v>213</v>
      </c>
      <c r="CE86" s="8">
        <v>135</v>
      </c>
      <c r="CF86" s="8">
        <v>218</v>
      </c>
      <c r="CG86" s="8">
        <v>193</v>
      </c>
      <c r="CH86" s="8">
        <v>99</v>
      </c>
      <c r="CJ86" s="9"/>
      <c r="CK86" s="9"/>
      <c r="CL86" s="9"/>
      <c r="CM86" s="9"/>
      <c r="CN86" s="9"/>
      <c r="CO86" s="9"/>
      <c r="CP86" s="9"/>
      <c r="CQ86" s="9"/>
      <c r="CR86" s="9"/>
      <c r="CS86" s="9"/>
      <c r="CT86" s="9"/>
      <c r="CU86" s="9"/>
      <c r="CV86" s="9"/>
      <c r="CW86" s="9"/>
      <c r="CX86" s="9"/>
      <c r="CY86" s="9"/>
      <c r="CZ86" s="9"/>
      <c r="DA86" s="9"/>
      <c r="DB86" s="9"/>
      <c r="DC86" s="9"/>
      <c r="DD86" s="9"/>
      <c r="DE86" s="9"/>
      <c r="DF86" s="9"/>
      <c r="DG86" s="9"/>
      <c r="DH86" s="9"/>
      <c r="DI86" s="9"/>
      <c r="DJ86" s="9"/>
      <c r="DK86" s="9"/>
      <c r="DL86" s="9"/>
      <c r="DM86" s="9"/>
      <c r="DN86" s="9"/>
      <c r="DO86" s="9"/>
      <c r="DP86" s="9"/>
      <c r="DQ86" s="9"/>
      <c r="DR86" s="9"/>
      <c r="DS86" s="9"/>
      <c r="DT86" s="9"/>
      <c r="DU86" s="9"/>
      <c r="DV86" s="9"/>
      <c r="DW86" s="9"/>
      <c r="DX86" s="9"/>
      <c r="DY86" s="9"/>
      <c r="DZ86" s="9"/>
      <c r="EA86" s="9"/>
      <c r="EB86" s="9"/>
      <c r="EC86" s="9"/>
      <c r="ED86" s="9"/>
      <c r="EE86" s="9"/>
      <c r="EF86" s="9"/>
      <c r="EG86" s="9"/>
      <c r="EH86" s="9"/>
      <c r="EI86" s="9"/>
      <c r="EJ86" s="9"/>
      <c r="EK86" s="9"/>
      <c r="EL86" s="9"/>
      <c r="EM86" s="9"/>
      <c r="EN86" s="9"/>
      <c r="EO86" s="9"/>
      <c r="EP86" s="9"/>
      <c r="EQ86" s="9"/>
      <c r="ER86" s="9"/>
      <c r="ES86" s="9"/>
      <c r="ET86" s="9"/>
      <c r="EU86" s="9"/>
      <c r="EV86" s="9"/>
      <c r="EW86" s="9"/>
      <c r="EX86" s="9"/>
      <c r="EY86" s="9"/>
      <c r="EZ86" s="9"/>
      <c r="FA86" s="9"/>
      <c r="FB86" s="9"/>
      <c r="FC86" s="9"/>
      <c r="FD86" s="9"/>
      <c r="FE86" s="9"/>
      <c r="FF86" s="9"/>
      <c r="FG86" s="9"/>
      <c r="FH86" s="9"/>
      <c r="FI86" s="9"/>
    </row>
    <row r="87" spans="1:165" x14ac:dyDescent="0.2">
      <c r="A87" s="1" t="s">
        <v>1423</v>
      </c>
      <c r="B87" s="1" t="s">
        <v>551</v>
      </c>
      <c r="C87" s="1" t="s">
        <v>453</v>
      </c>
      <c r="D87" s="1" t="str">
        <f>HYPERLINK("http://eros.fiehnlab.ucdavis.edu:8080/binbase-compound/bin/show/199932?db=rtx5","199932")</f>
        <v>199932</v>
      </c>
      <c r="E87" s="1" t="s">
        <v>552</v>
      </c>
      <c r="F87" s="1" t="str">
        <f>HYPERLINK("http://www.genome.ad.jp/dbget-bin/www_bget?compound+C00446","C00446")</f>
        <v>C00446</v>
      </c>
      <c r="G87" s="1" t="str">
        <f>HYPERLINK("http://pubchem.ncbi.nlm.nih.gov/summary/summary.cgi?cid=99058","99058")</f>
        <v>99058</v>
      </c>
      <c r="H87" s="1"/>
      <c r="I87" s="8">
        <v>211</v>
      </c>
      <c r="J87" s="8">
        <v>312</v>
      </c>
      <c r="K87" s="8">
        <v>345</v>
      </c>
      <c r="L87" s="8">
        <v>220</v>
      </c>
      <c r="M87" s="8">
        <v>270</v>
      </c>
      <c r="N87" s="8">
        <v>134</v>
      </c>
      <c r="O87" s="8">
        <v>990</v>
      </c>
      <c r="P87" s="8">
        <v>1117</v>
      </c>
      <c r="Q87" s="8">
        <v>150</v>
      </c>
      <c r="R87" s="8">
        <v>82</v>
      </c>
      <c r="S87" s="8">
        <v>809</v>
      </c>
      <c r="T87" s="8">
        <v>126</v>
      </c>
      <c r="U87" s="8">
        <v>399</v>
      </c>
      <c r="V87" s="8">
        <v>419</v>
      </c>
      <c r="W87" s="8">
        <v>410</v>
      </c>
      <c r="X87" s="8">
        <v>83</v>
      </c>
      <c r="Y87" s="8">
        <v>419</v>
      </c>
      <c r="Z87" s="8">
        <v>82</v>
      </c>
      <c r="AA87" s="8">
        <v>321</v>
      </c>
      <c r="AB87" s="8">
        <v>738</v>
      </c>
      <c r="AC87" s="8">
        <v>788</v>
      </c>
      <c r="AD87" s="8">
        <v>580</v>
      </c>
      <c r="AE87" s="8">
        <v>803</v>
      </c>
      <c r="AF87" s="8">
        <v>432</v>
      </c>
      <c r="AG87" s="8">
        <v>236</v>
      </c>
      <c r="AH87" s="8">
        <v>694</v>
      </c>
      <c r="AI87" s="8">
        <v>337</v>
      </c>
      <c r="AJ87" s="8">
        <v>790</v>
      </c>
      <c r="AK87" s="8">
        <v>383</v>
      </c>
      <c r="AL87" s="8">
        <v>179</v>
      </c>
      <c r="AM87" s="8">
        <v>890</v>
      </c>
      <c r="AN87" s="8">
        <v>1104</v>
      </c>
      <c r="AO87" s="8">
        <v>748</v>
      </c>
      <c r="AP87" s="8">
        <v>1023</v>
      </c>
      <c r="AQ87" s="8">
        <v>1024</v>
      </c>
      <c r="AR87" s="8">
        <v>91</v>
      </c>
      <c r="AS87" s="8">
        <v>255</v>
      </c>
      <c r="AT87" s="8">
        <v>239</v>
      </c>
      <c r="AU87" s="8">
        <v>266</v>
      </c>
      <c r="AV87" s="8">
        <v>216</v>
      </c>
      <c r="AW87" s="8">
        <v>276</v>
      </c>
      <c r="AX87" s="8">
        <v>104</v>
      </c>
      <c r="AY87" s="8">
        <v>125</v>
      </c>
      <c r="AZ87" s="8">
        <v>183</v>
      </c>
      <c r="BA87" s="8">
        <v>110</v>
      </c>
      <c r="BB87" s="8">
        <v>107</v>
      </c>
      <c r="BC87" s="8">
        <v>90</v>
      </c>
      <c r="BD87" s="8">
        <v>107</v>
      </c>
      <c r="BE87" s="8">
        <v>189</v>
      </c>
      <c r="BF87" s="8">
        <v>403</v>
      </c>
      <c r="BG87" s="8">
        <v>180</v>
      </c>
      <c r="BH87" s="8">
        <v>202</v>
      </c>
      <c r="BI87" s="8">
        <v>106</v>
      </c>
      <c r="BJ87" s="8">
        <v>78</v>
      </c>
      <c r="BK87" s="8">
        <v>683</v>
      </c>
      <c r="BL87" s="8">
        <v>674</v>
      </c>
      <c r="BM87" s="8">
        <v>714</v>
      </c>
      <c r="BN87" s="8">
        <v>793</v>
      </c>
      <c r="BO87" s="8">
        <v>461</v>
      </c>
      <c r="BP87" s="8">
        <v>393</v>
      </c>
      <c r="BQ87" s="8">
        <v>634</v>
      </c>
      <c r="BR87" s="8">
        <v>539</v>
      </c>
      <c r="BS87" s="8">
        <v>459</v>
      </c>
      <c r="BT87" s="8">
        <v>422</v>
      </c>
      <c r="BU87" s="8">
        <v>538</v>
      </c>
      <c r="BV87" s="8">
        <v>109</v>
      </c>
      <c r="BW87" s="8">
        <v>742</v>
      </c>
      <c r="BX87" s="8">
        <v>553</v>
      </c>
      <c r="BY87" s="8">
        <v>557</v>
      </c>
      <c r="BZ87" s="8">
        <v>468</v>
      </c>
      <c r="CA87" s="8">
        <v>575</v>
      </c>
      <c r="CB87" s="8">
        <v>84</v>
      </c>
      <c r="CC87" s="8">
        <v>515</v>
      </c>
      <c r="CD87" s="8">
        <v>352</v>
      </c>
      <c r="CE87" s="8">
        <v>468</v>
      </c>
      <c r="CF87" s="8">
        <v>288</v>
      </c>
      <c r="CG87" s="8">
        <v>310</v>
      </c>
      <c r="CH87" s="8">
        <v>139</v>
      </c>
      <c r="CJ87" s="9"/>
      <c r="CK87" s="9"/>
      <c r="CL87" s="9"/>
      <c r="CM87" s="9"/>
      <c r="CN87" s="9"/>
      <c r="CO87" s="9"/>
      <c r="CP87" s="9"/>
      <c r="CQ87" s="9"/>
      <c r="CR87" s="9"/>
      <c r="CS87" s="9"/>
      <c r="CT87" s="9"/>
      <c r="CU87" s="9"/>
      <c r="CV87" s="9"/>
      <c r="CW87" s="9"/>
      <c r="CX87" s="9"/>
      <c r="CY87" s="9"/>
      <c r="CZ87" s="9"/>
      <c r="DA87" s="9"/>
      <c r="DB87" s="9"/>
      <c r="DC87" s="9"/>
      <c r="DD87" s="9"/>
      <c r="DE87" s="9"/>
      <c r="DF87" s="9"/>
      <c r="DG87" s="9"/>
      <c r="DH87" s="9"/>
      <c r="DI87" s="9"/>
      <c r="DJ87" s="9"/>
      <c r="DK87" s="9"/>
      <c r="DL87" s="9"/>
      <c r="DM87" s="9"/>
      <c r="DN87" s="9"/>
      <c r="DO87" s="9"/>
      <c r="DP87" s="9"/>
      <c r="DQ87" s="9"/>
      <c r="DR87" s="9"/>
      <c r="DS87" s="9"/>
      <c r="DT87" s="9"/>
      <c r="DU87" s="9"/>
      <c r="DV87" s="9"/>
      <c r="DW87" s="9"/>
      <c r="DX87" s="9"/>
      <c r="DY87" s="9"/>
      <c r="DZ87" s="9"/>
      <c r="EA87" s="9"/>
      <c r="EB87" s="9"/>
      <c r="EC87" s="9"/>
      <c r="ED87" s="9"/>
      <c r="EE87" s="9"/>
      <c r="EF87" s="9"/>
      <c r="EG87" s="9"/>
      <c r="EH87" s="9"/>
      <c r="EI87" s="9"/>
      <c r="EJ87" s="9"/>
      <c r="EK87" s="9"/>
      <c r="EL87" s="9"/>
      <c r="EM87" s="9"/>
      <c r="EN87" s="9"/>
      <c r="EO87" s="9"/>
      <c r="EP87" s="9"/>
      <c r="EQ87" s="9"/>
      <c r="ER87" s="9"/>
      <c r="ES87" s="9"/>
      <c r="ET87" s="9"/>
      <c r="EU87" s="9"/>
      <c r="EV87" s="9"/>
      <c r="EW87" s="9"/>
      <c r="EX87" s="9"/>
      <c r="EY87" s="9"/>
      <c r="EZ87" s="9"/>
      <c r="FA87" s="9"/>
      <c r="FB87" s="9"/>
      <c r="FC87" s="9"/>
      <c r="FD87" s="9"/>
      <c r="FE87" s="9"/>
      <c r="FF87" s="9"/>
      <c r="FG87" s="9"/>
      <c r="FH87" s="9"/>
      <c r="FI87" s="9"/>
    </row>
    <row r="88" spans="1:165" x14ac:dyDescent="0.2">
      <c r="A88" s="1" t="s">
        <v>553</v>
      </c>
      <c r="B88" s="1" t="s">
        <v>554</v>
      </c>
      <c r="C88" s="1" t="s">
        <v>555</v>
      </c>
      <c r="D88" s="1" t="str">
        <f>HYPERLINK("http://eros.fiehnlab.ucdavis.edu:8080/binbase-compound/bin/show/325032?db=rtx5","325032")</f>
        <v>325032</v>
      </c>
      <c r="E88" s="1" t="s">
        <v>556</v>
      </c>
      <c r="F88" s="1" t="str">
        <f>HYPERLINK("http://www.genome.ad.jp/dbget-bin/www_bget?compound+C00122","C00122")</f>
        <v>C00122</v>
      </c>
      <c r="G88" s="1" t="str">
        <f>HYPERLINK("http://pubchem.ncbi.nlm.nih.gov/summary/summary.cgi?cid=444972","444972")</f>
        <v>444972</v>
      </c>
      <c r="H88" s="1"/>
      <c r="I88" s="8">
        <v>471</v>
      </c>
      <c r="J88" s="8">
        <v>421</v>
      </c>
      <c r="K88" s="8">
        <v>433</v>
      </c>
      <c r="L88" s="8">
        <v>489</v>
      </c>
      <c r="M88" s="8">
        <v>422</v>
      </c>
      <c r="N88" s="8">
        <v>371</v>
      </c>
      <c r="O88" s="8">
        <v>803</v>
      </c>
      <c r="P88" s="8">
        <v>976</v>
      </c>
      <c r="Q88" s="8">
        <v>1201</v>
      </c>
      <c r="R88" s="8">
        <v>1157</v>
      </c>
      <c r="S88" s="8">
        <v>1228</v>
      </c>
      <c r="T88" s="8">
        <v>1565</v>
      </c>
      <c r="U88" s="8">
        <v>1746</v>
      </c>
      <c r="V88" s="8">
        <v>1839</v>
      </c>
      <c r="W88" s="8">
        <v>2136</v>
      </c>
      <c r="X88" s="8">
        <v>2022</v>
      </c>
      <c r="Y88" s="8">
        <v>1534</v>
      </c>
      <c r="Z88" s="8">
        <v>1896</v>
      </c>
      <c r="AA88" s="8">
        <v>646</v>
      </c>
      <c r="AB88" s="8">
        <v>1041</v>
      </c>
      <c r="AC88" s="8">
        <v>964</v>
      </c>
      <c r="AD88" s="8">
        <v>831</v>
      </c>
      <c r="AE88" s="8">
        <v>1059</v>
      </c>
      <c r="AF88" s="8">
        <v>815</v>
      </c>
      <c r="AG88" s="8">
        <v>1831</v>
      </c>
      <c r="AH88" s="8">
        <v>2571</v>
      </c>
      <c r="AI88" s="8">
        <v>2116</v>
      </c>
      <c r="AJ88" s="8">
        <v>2803</v>
      </c>
      <c r="AK88" s="8">
        <v>1926</v>
      </c>
      <c r="AL88" s="8">
        <v>1235</v>
      </c>
      <c r="AM88" s="8">
        <v>931</v>
      </c>
      <c r="AN88" s="8">
        <v>644</v>
      </c>
      <c r="AO88" s="8">
        <v>683</v>
      </c>
      <c r="AP88" s="8">
        <v>631</v>
      </c>
      <c r="AQ88" s="8">
        <v>569</v>
      </c>
      <c r="AR88" s="8">
        <v>616</v>
      </c>
      <c r="AS88" s="8">
        <v>1566</v>
      </c>
      <c r="AT88" s="8">
        <v>1478</v>
      </c>
      <c r="AU88" s="8">
        <v>1435</v>
      </c>
      <c r="AV88" s="8">
        <v>1348</v>
      </c>
      <c r="AW88" s="8">
        <v>1699</v>
      </c>
      <c r="AX88" s="8">
        <v>1355</v>
      </c>
      <c r="AY88" s="8">
        <v>767</v>
      </c>
      <c r="AZ88" s="8">
        <v>884</v>
      </c>
      <c r="BA88" s="8">
        <v>754</v>
      </c>
      <c r="BB88" s="8">
        <v>568</v>
      </c>
      <c r="BC88" s="8">
        <v>671</v>
      </c>
      <c r="BD88" s="8">
        <v>818</v>
      </c>
      <c r="BE88" s="8">
        <v>2291</v>
      </c>
      <c r="BF88" s="8">
        <v>2475</v>
      </c>
      <c r="BG88" s="8">
        <v>2087</v>
      </c>
      <c r="BH88" s="8">
        <v>1752</v>
      </c>
      <c r="BI88" s="8">
        <v>2687</v>
      </c>
      <c r="BJ88" s="8">
        <v>2193</v>
      </c>
      <c r="BK88" s="8">
        <v>790</v>
      </c>
      <c r="BL88" s="8">
        <v>903</v>
      </c>
      <c r="BM88" s="8">
        <v>756</v>
      </c>
      <c r="BN88" s="8">
        <v>492</v>
      </c>
      <c r="BO88" s="8">
        <v>744</v>
      </c>
      <c r="BP88" s="8">
        <v>813</v>
      </c>
      <c r="BQ88" s="8">
        <v>1655</v>
      </c>
      <c r="BR88" s="8">
        <v>1248</v>
      </c>
      <c r="BS88" s="8">
        <v>1669</v>
      </c>
      <c r="BT88" s="8">
        <v>1634</v>
      </c>
      <c r="BU88" s="8">
        <v>1242</v>
      </c>
      <c r="BV88" s="8">
        <v>1442</v>
      </c>
      <c r="BW88" s="8">
        <v>946</v>
      </c>
      <c r="BX88" s="8">
        <v>766</v>
      </c>
      <c r="BY88" s="8">
        <v>874</v>
      </c>
      <c r="BZ88" s="8">
        <v>898</v>
      </c>
      <c r="CA88" s="8">
        <v>847</v>
      </c>
      <c r="CB88" s="8">
        <v>633</v>
      </c>
      <c r="CC88" s="8">
        <v>1675</v>
      </c>
      <c r="CD88" s="8">
        <v>2408</v>
      </c>
      <c r="CE88" s="8">
        <v>1948</v>
      </c>
      <c r="CF88" s="8">
        <v>1326</v>
      </c>
      <c r="CG88" s="8">
        <v>1747</v>
      </c>
      <c r="CH88" s="8">
        <v>1821</v>
      </c>
      <c r="CJ88" s="9"/>
      <c r="CK88" s="9"/>
      <c r="CL88" s="9"/>
      <c r="CM88" s="9"/>
      <c r="CN88" s="9"/>
      <c r="CO88" s="9"/>
      <c r="CP88" s="9"/>
      <c r="CQ88" s="9"/>
      <c r="CR88" s="9"/>
      <c r="CS88" s="9"/>
      <c r="CT88" s="9"/>
      <c r="CU88" s="9"/>
      <c r="CV88" s="9"/>
      <c r="CW88" s="9"/>
      <c r="CX88" s="9"/>
      <c r="CY88" s="9"/>
      <c r="CZ88" s="9"/>
      <c r="DA88" s="9"/>
      <c r="DB88" s="9"/>
      <c r="DC88" s="9"/>
      <c r="DD88" s="9"/>
      <c r="DE88" s="9"/>
      <c r="DF88" s="9"/>
      <c r="DG88" s="9"/>
      <c r="DH88" s="9"/>
      <c r="DI88" s="9"/>
      <c r="DJ88" s="9"/>
      <c r="DK88" s="9"/>
      <c r="DL88" s="9"/>
      <c r="DM88" s="9"/>
      <c r="DN88" s="9"/>
      <c r="DO88" s="9"/>
      <c r="DP88" s="9"/>
      <c r="DQ88" s="9"/>
      <c r="DR88" s="9"/>
      <c r="DS88" s="9"/>
      <c r="DT88" s="9"/>
      <c r="DU88" s="9"/>
      <c r="DV88" s="9"/>
      <c r="DW88" s="9"/>
      <c r="DX88" s="9"/>
      <c r="DY88" s="9"/>
      <c r="DZ88" s="9"/>
      <c r="EA88" s="9"/>
      <c r="EB88" s="9"/>
      <c r="EC88" s="9"/>
      <c r="ED88" s="9"/>
      <c r="EE88" s="9"/>
      <c r="EF88" s="9"/>
      <c r="EG88" s="9"/>
      <c r="EH88" s="9"/>
      <c r="EI88" s="9"/>
      <c r="EJ88" s="9"/>
      <c r="EK88" s="9"/>
      <c r="EL88" s="9"/>
      <c r="EM88" s="9"/>
      <c r="EN88" s="9"/>
      <c r="EO88" s="9"/>
      <c r="EP88" s="9"/>
      <c r="EQ88" s="9"/>
      <c r="ER88" s="9"/>
      <c r="ES88" s="9"/>
      <c r="ET88" s="9"/>
      <c r="EU88" s="9"/>
      <c r="EV88" s="9"/>
      <c r="EW88" s="9"/>
      <c r="EX88" s="9"/>
      <c r="EY88" s="9"/>
      <c r="EZ88" s="9"/>
      <c r="FA88" s="9"/>
      <c r="FB88" s="9"/>
      <c r="FC88" s="9"/>
      <c r="FD88" s="9"/>
      <c r="FE88" s="9"/>
      <c r="FF88" s="9"/>
      <c r="FG88" s="9"/>
      <c r="FH88" s="9"/>
      <c r="FI88" s="9"/>
    </row>
    <row r="89" spans="1:165" x14ac:dyDescent="0.2">
      <c r="A89" s="1" t="s">
        <v>557</v>
      </c>
      <c r="B89" s="1" t="s">
        <v>558</v>
      </c>
      <c r="C89" s="1" t="s">
        <v>273</v>
      </c>
      <c r="D89" s="1" t="str">
        <f>HYPERLINK("http://eros.fiehnlab.ucdavis.edu:8080/binbase-compound/bin/show/241151?db=rtx5","241151")</f>
        <v>241151</v>
      </c>
      <c r="E89" s="1" t="s">
        <v>559</v>
      </c>
      <c r="F89" s="1" t="str">
        <f>HYPERLINK("http://www.genome.ad.jp/dbget-bin/www_bget?compound+C00085","C00085")</f>
        <v>C00085</v>
      </c>
      <c r="G89" s="1" t="str">
        <f>HYPERLINK("http://pubchem.ncbi.nlm.nih.gov/summary/summary.cgi?cid=69507","69507")</f>
        <v>69507</v>
      </c>
      <c r="H89" s="1"/>
      <c r="I89" s="8">
        <v>1569</v>
      </c>
      <c r="J89" s="8">
        <v>1909</v>
      </c>
      <c r="K89" s="8">
        <v>1236</v>
      </c>
      <c r="L89" s="8">
        <v>1476</v>
      </c>
      <c r="M89" s="8">
        <v>747</v>
      </c>
      <c r="N89" s="8">
        <v>2458</v>
      </c>
      <c r="O89" s="8">
        <v>2507</v>
      </c>
      <c r="P89" s="8">
        <v>3240</v>
      </c>
      <c r="Q89" s="8">
        <v>2832</v>
      </c>
      <c r="R89" s="8">
        <v>2540</v>
      </c>
      <c r="S89" s="8">
        <v>2706</v>
      </c>
      <c r="T89" s="8">
        <v>876</v>
      </c>
      <c r="U89" s="8">
        <v>1363</v>
      </c>
      <c r="V89" s="8">
        <v>1056</v>
      </c>
      <c r="W89" s="8">
        <v>1462</v>
      </c>
      <c r="X89" s="8">
        <v>1200</v>
      </c>
      <c r="Y89" s="8">
        <v>1046</v>
      </c>
      <c r="Z89" s="8">
        <v>1262</v>
      </c>
      <c r="AA89" s="8">
        <v>654</v>
      </c>
      <c r="AB89" s="8">
        <v>1133</v>
      </c>
      <c r="AC89" s="8">
        <v>1603</v>
      </c>
      <c r="AD89" s="8">
        <v>1053</v>
      </c>
      <c r="AE89" s="8">
        <v>1572</v>
      </c>
      <c r="AF89" s="8">
        <v>929</v>
      </c>
      <c r="AG89" s="8">
        <v>951</v>
      </c>
      <c r="AH89" s="8">
        <v>1707</v>
      </c>
      <c r="AI89" s="8">
        <v>1003</v>
      </c>
      <c r="AJ89" s="8">
        <v>2067</v>
      </c>
      <c r="AK89" s="8">
        <v>881</v>
      </c>
      <c r="AL89" s="8">
        <v>2096</v>
      </c>
      <c r="AM89" s="8">
        <v>2486</v>
      </c>
      <c r="AN89" s="8">
        <v>2684</v>
      </c>
      <c r="AO89" s="8">
        <v>1930</v>
      </c>
      <c r="AP89" s="8">
        <v>2126</v>
      </c>
      <c r="AQ89" s="8">
        <v>2239</v>
      </c>
      <c r="AR89" s="8">
        <v>2093</v>
      </c>
      <c r="AS89" s="8">
        <v>725</v>
      </c>
      <c r="AT89" s="8">
        <v>883</v>
      </c>
      <c r="AU89" s="8">
        <v>594</v>
      </c>
      <c r="AV89" s="8">
        <v>540</v>
      </c>
      <c r="AW89" s="8">
        <v>479</v>
      </c>
      <c r="AX89" s="8">
        <v>495</v>
      </c>
      <c r="AY89" s="8">
        <v>268</v>
      </c>
      <c r="AZ89" s="8">
        <v>363</v>
      </c>
      <c r="BA89" s="8">
        <v>260</v>
      </c>
      <c r="BB89" s="8">
        <v>247</v>
      </c>
      <c r="BC89" s="8">
        <v>279</v>
      </c>
      <c r="BD89" s="8">
        <v>356</v>
      </c>
      <c r="BE89" s="8">
        <v>693</v>
      </c>
      <c r="BF89" s="8">
        <v>999</v>
      </c>
      <c r="BG89" s="8">
        <v>605</v>
      </c>
      <c r="BH89" s="8">
        <v>511</v>
      </c>
      <c r="BI89" s="8">
        <v>926</v>
      </c>
      <c r="BJ89" s="8">
        <v>520</v>
      </c>
      <c r="BK89" s="8">
        <v>1749</v>
      </c>
      <c r="BL89" s="8">
        <v>1758</v>
      </c>
      <c r="BM89" s="8">
        <v>1771</v>
      </c>
      <c r="BN89" s="8">
        <v>1506</v>
      </c>
      <c r="BO89" s="8">
        <v>1657</v>
      </c>
      <c r="BP89" s="8">
        <v>1056</v>
      </c>
      <c r="BQ89" s="8">
        <v>1512</v>
      </c>
      <c r="BR89" s="8">
        <v>1625</v>
      </c>
      <c r="BS89" s="8">
        <v>1823</v>
      </c>
      <c r="BT89" s="8">
        <v>1239</v>
      </c>
      <c r="BU89" s="8">
        <v>1583</v>
      </c>
      <c r="BV89" s="8">
        <v>1463</v>
      </c>
      <c r="BW89" s="8">
        <v>7139</v>
      </c>
      <c r="BX89" s="8">
        <v>1472</v>
      </c>
      <c r="BY89" s="8">
        <v>2709</v>
      </c>
      <c r="BZ89" s="8">
        <v>3329</v>
      </c>
      <c r="CA89" s="8">
        <v>1168</v>
      </c>
      <c r="CB89" s="8">
        <v>1016</v>
      </c>
      <c r="CC89" s="8">
        <v>1420</v>
      </c>
      <c r="CD89" s="8">
        <v>1404</v>
      </c>
      <c r="CE89" s="8">
        <v>1969</v>
      </c>
      <c r="CF89" s="8">
        <v>1618</v>
      </c>
      <c r="CG89" s="8">
        <v>1414</v>
      </c>
      <c r="CH89" s="8">
        <v>1570</v>
      </c>
      <c r="CJ89" s="9"/>
      <c r="CK89" s="9"/>
      <c r="CL89" s="9"/>
      <c r="CM89" s="9"/>
      <c r="CN89" s="9"/>
      <c r="CO89" s="9"/>
      <c r="CP89" s="9"/>
      <c r="CQ89" s="9"/>
      <c r="CR89" s="9"/>
      <c r="CS89" s="9"/>
      <c r="CT89" s="9"/>
      <c r="CU89" s="9"/>
      <c r="CV89" s="9"/>
      <c r="CW89" s="9"/>
      <c r="CX89" s="9"/>
      <c r="CY89" s="9"/>
      <c r="CZ89" s="9"/>
      <c r="DA89" s="9"/>
      <c r="DB89" s="9"/>
      <c r="DC89" s="9"/>
      <c r="DD89" s="9"/>
      <c r="DE89" s="9"/>
      <c r="DF89" s="9"/>
      <c r="DG89" s="9"/>
      <c r="DH89" s="9"/>
      <c r="DI89" s="9"/>
      <c r="DJ89" s="9"/>
      <c r="DK89" s="9"/>
      <c r="DL89" s="9"/>
      <c r="DM89" s="9"/>
      <c r="DN89" s="9"/>
      <c r="DO89" s="9"/>
      <c r="DP89" s="9"/>
      <c r="DQ89" s="9"/>
      <c r="DR89" s="9"/>
      <c r="DS89" s="9"/>
      <c r="DT89" s="9"/>
      <c r="DU89" s="9"/>
      <c r="DV89" s="9"/>
      <c r="DW89" s="9"/>
      <c r="DX89" s="9"/>
      <c r="DY89" s="9"/>
      <c r="DZ89" s="9"/>
      <c r="EA89" s="9"/>
      <c r="EB89" s="9"/>
      <c r="EC89" s="9"/>
      <c r="ED89" s="9"/>
      <c r="EE89" s="9"/>
      <c r="EF89" s="9"/>
      <c r="EG89" s="9"/>
      <c r="EH89" s="9"/>
      <c r="EI89" s="9"/>
      <c r="EJ89" s="9"/>
      <c r="EK89" s="9"/>
      <c r="EL89" s="9"/>
      <c r="EM89" s="9"/>
      <c r="EN89" s="9"/>
      <c r="EO89" s="9"/>
      <c r="EP89" s="9"/>
      <c r="EQ89" s="9"/>
      <c r="ER89" s="9"/>
      <c r="ES89" s="9"/>
      <c r="ET89" s="9"/>
      <c r="EU89" s="9"/>
      <c r="EV89" s="9"/>
      <c r="EW89" s="9"/>
      <c r="EX89" s="9"/>
      <c r="EY89" s="9"/>
      <c r="EZ89" s="9"/>
      <c r="FA89" s="9"/>
      <c r="FB89" s="9"/>
      <c r="FC89" s="9"/>
      <c r="FD89" s="9"/>
      <c r="FE89" s="9"/>
      <c r="FF89" s="9"/>
      <c r="FG89" s="9"/>
      <c r="FH89" s="9"/>
      <c r="FI89" s="9"/>
    </row>
    <row r="90" spans="1:165" x14ac:dyDescent="0.2">
      <c r="A90" s="1" t="s">
        <v>1419</v>
      </c>
      <c r="B90" s="1" t="s">
        <v>330</v>
      </c>
      <c r="C90" s="1" t="s">
        <v>317</v>
      </c>
      <c r="D90" s="1" t="str">
        <f>HYPERLINK("http://eros.fiehnlab.ucdavis.edu:8080/binbase-compound/bin/show/335365?db=rtx5","335365")</f>
        <v>335365</v>
      </c>
      <c r="E90" s="1" t="s">
        <v>331</v>
      </c>
      <c r="F90" s="1" t="str">
        <f>HYPERLINK("http://www.genome.ad.jp/dbget-bin/www_bget?compound+C00095","C00095")</f>
        <v>C00095</v>
      </c>
      <c r="G90" s="1" t="str">
        <f>HYPERLINK("http://pubchem.ncbi.nlm.nih.gov/summary/summary.cgi?cid=5984","5984")</f>
        <v>5984</v>
      </c>
      <c r="H90" s="1"/>
      <c r="I90" s="8">
        <v>4363</v>
      </c>
      <c r="J90" s="8">
        <v>3852</v>
      </c>
      <c r="K90" s="8">
        <v>4490</v>
      </c>
      <c r="L90" s="8">
        <v>4960</v>
      </c>
      <c r="M90" s="8">
        <v>4343</v>
      </c>
      <c r="N90" s="8">
        <v>7678</v>
      </c>
      <c r="O90" s="8">
        <v>2592</v>
      </c>
      <c r="P90" s="8">
        <v>997</v>
      </c>
      <c r="Q90" s="8">
        <v>1296</v>
      </c>
      <c r="R90" s="8">
        <v>2014</v>
      </c>
      <c r="S90" s="8">
        <v>996</v>
      </c>
      <c r="T90" s="8">
        <v>1270</v>
      </c>
      <c r="U90" s="8">
        <v>1044</v>
      </c>
      <c r="V90" s="8">
        <v>1479</v>
      </c>
      <c r="W90" s="8">
        <v>2099</v>
      </c>
      <c r="X90" s="8">
        <v>2077</v>
      </c>
      <c r="Y90" s="8">
        <v>1179</v>
      </c>
      <c r="Z90" s="8">
        <v>1610</v>
      </c>
      <c r="AA90" s="8">
        <v>4904</v>
      </c>
      <c r="AB90" s="8">
        <v>512</v>
      </c>
      <c r="AC90" s="8">
        <v>1087</v>
      </c>
      <c r="AD90" s="8">
        <v>649</v>
      </c>
      <c r="AE90" s="8">
        <v>955</v>
      </c>
      <c r="AF90" s="8">
        <v>3827</v>
      </c>
      <c r="AG90" s="8">
        <v>714</v>
      </c>
      <c r="AH90" s="8">
        <v>1036</v>
      </c>
      <c r="AI90" s="8">
        <v>807</v>
      </c>
      <c r="AJ90" s="8">
        <v>1021</v>
      </c>
      <c r="AK90" s="8">
        <v>864</v>
      </c>
      <c r="AL90" s="8">
        <v>954</v>
      </c>
      <c r="AM90" s="8">
        <v>952</v>
      </c>
      <c r="AN90" s="8">
        <v>2667</v>
      </c>
      <c r="AO90" s="8">
        <v>744</v>
      </c>
      <c r="AP90" s="8">
        <v>3626</v>
      </c>
      <c r="AQ90" s="8">
        <v>2475</v>
      </c>
      <c r="AR90" s="8">
        <v>3927</v>
      </c>
      <c r="AS90" s="8">
        <v>1127</v>
      </c>
      <c r="AT90" s="8">
        <v>1080</v>
      </c>
      <c r="AU90" s="8">
        <v>1352</v>
      </c>
      <c r="AV90" s="8">
        <v>934</v>
      </c>
      <c r="AW90" s="8">
        <v>1507</v>
      </c>
      <c r="AX90" s="8">
        <v>886</v>
      </c>
      <c r="AY90" s="8">
        <v>344</v>
      </c>
      <c r="AZ90" s="8">
        <v>3067</v>
      </c>
      <c r="BA90" s="8">
        <v>905</v>
      </c>
      <c r="BB90" s="8">
        <v>861</v>
      </c>
      <c r="BC90" s="8">
        <v>595</v>
      </c>
      <c r="BD90" s="8">
        <v>256</v>
      </c>
      <c r="BE90" s="8">
        <v>735</v>
      </c>
      <c r="BF90" s="8">
        <v>1451</v>
      </c>
      <c r="BG90" s="8">
        <v>921</v>
      </c>
      <c r="BH90" s="8">
        <v>2351</v>
      </c>
      <c r="BI90" s="8">
        <v>706</v>
      </c>
      <c r="BJ90" s="8">
        <v>697</v>
      </c>
      <c r="BK90" s="8">
        <v>32958</v>
      </c>
      <c r="BL90" s="8">
        <v>17959</v>
      </c>
      <c r="BM90" s="8">
        <v>20435</v>
      </c>
      <c r="BN90" s="8">
        <v>101357</v>
      </c>
      <c r="BO90" s="8">
        <v>25271</v>
      </c>
      <c r="BP90" s="8">
        <v>18133</v>
      </c>
      <c r="BQ90" s="8">
        <v>29976</v>
      </c>
      <c r="BR90" s="8">
        <v>27859</v>
      </c>
      <c r="BS90" s="8">
        <v>24524</v>
      </c>
      <c r="BT90" s="8">
        <v>28097</v>
      </c>
      <c r="BU90" s="8">
        <v>26322</v>
      </c>
      <c r="BV90" s="8">
        <v>27946</v>
      </c>
      <c r="BW90" s="8">
        <v>12739</v>
      </c>
      <c r="BX90" s="8">
        <v>11400</v>
      </c>
      <c r="BY90" s="8">
        <v>11627</v>
      </c>
      <c r="BZ90" s="8">
        <v>11864</v>
      </c>
      <c r="CA90" s="8">
        <v>12282</v>
      </c>
      <c r="CB90" s="8">
        <v>71237</v>
      </c>
      <c r="CC90" s="8">
        <v>55212</v>
      </c>
      <c r="CD90" s="8">
        <v>15039</v>
      </c>
      <c r="CE90" s="8">
        <v>19952</v>
      </c>
      <c r="CF90" s="8">
        <v>24600</v>
      </c>
      <c r="CG90" s="8">
        <v>17518</v>
      </c>
      <c r="CH90" s="8">
        <v>25730</v>
      </c>
      <c r="CJ90" s="9"/>
      <c r="CK90" s="9"/>
      <c r="CL90" s="9"/>
      <c r="CM90" s="9"/>
      <c r="CN90" s="9"/>
      <c r="CO90" s="9"/>
      <c r="CP90" s="9"/>
      <c r="CQ90" s="9"/>
      <c r="CR90" s="9"/>
      <c r="CS90" s="9"/>
      <c r="CT90" s="9"/>
      <c r="CU90" s="9"/>
      <c r="CV90" s="9"/>
      <c r="CW90" s="9"/>
      <c r="CX90" s="9"/>
      <c r="CY90" s="9"/>
      <c r="CZ90" s="9"/>
      <c r="DA90" s="9"/>
      <c r="DB90" s="9"/>
      <c r="DC90" s="9"/>
      <c r="DD90" s="9"/>
      <c r="DE90" s="9"/>
      <c r="DF90" s="9"/>
      <c r="DG90" s="9"/>
      <c r="DH90" s="9"/>
      <c r="DI90" s="9"/>
      <c r="DJ90" s="9"/>
      <c r="DK90" s="9"/>
      <c r="DL90" s="9"/>
      <c r="DM90" s="9"/>
      <c r="DN90" s="9"/>
      <c r="DO90" s="9"/>
      <c r="DP90" s="9"/>
      <c r="DQ90" s="9"/>
      <c r="DR90" s="9"/>
      <c r="DS90" s="9"/>
      <c r="DT90" s="9"/>
      <c r="DU90" s="9"/>
      <c r="DV90" s="9"/>
      <c r="DW90" s="9"/>
      <c r="DX90" s="9"/>
      <c r="DY90" s="9"/>
      <c r="DZ90" s="9"/>
      <c r="EA90" s="9"/>
      <c r="EB90" s="9"/>
      <c r="EC90" s="9"/>
      <c r="ED90" s="9"/>
      <c r="EE90" s="9"/>
      <c r="EF90" s="9"/>
      <c r="EG90" s="9"/>
      <c r="EH90" s="9"/>
      <c r="EI90" s="9"/>
      <c r="EJ90" s="9"/>
      <c r="EK90" s="9"/>
      <c r="EL90" s="9"/>
      <c r="EM90" s="9"/>
      <c r="EN90" s="9"/>
      <c r="EO90" s="9"/>
      <c r="EP90" s="9"/>
      <c r="EQ90" s="9"/>
      <c r="ER90" s="9"/>
      <c r="ES90" s="9"/>
      <c r="ET90" s="9"/>
      <c r="EU90" s="9"/>
      <c r="EV90" s="9"/>
      <c r="EW90" s="9"/>
      <c r="EX90" s="9"/>
      <c r="EY90" s="9"/>
      <c r="EZ90" s="9"/>
      <c r="FA90" s="9"/>
      <c r="FB90" s="9"/>
      <c r="FC90" s="9"/>
      <c r="FD90" s="9"/>
      <c r="FE90" s="9"/>
      <c r="FF90" s="9"/>
      <c r="FG90" s="9"/>
      <c r="FH90" s="9"/>
      <c r="FI90" s="9"/>
    </row>
    <row r="91" spans="1:165" x14ac:dyDescent="0.2">
      <c r="A91" s="1" t="s">
        <v>560</v>
      </c>
      <c r="B91" s="1" t="s">
        <v>561</v>
      </c>
      <c r="C91" s="1" t="s">
        <v>457</v>
      </c>
      <c r="D91" s="1" t="str">
        <f>HYPERLINK("http://eros.fiehnlab.ucdavis.edu:8080/binbase-compound/bin/show/200514?db=rtx5","200514")</f>
        <v>200514</v>
      </c>
      <c r="E91" s="1" t="s">
        <v>562</v>
      </c>
      <c r="F91" s="1" t="str">
        <f>HYPERLINK("http://www.genome.ad.jp/dbget-bin/www_bget?compound+C00503","C00503")</f>
        <v>C00503</v>
      </c>
      <c r="G91" s="1" t="str">
        <f>HYPERLINK("http://pubchem.ncbi.nlm.nih.gov/summary/summary.cgi?cid=222285","222285")</f>
        <v>222285</v>
      </c>
      <c r="H91" s="1"/>
      <c r="I91" s="8">
        <v>845</v>
      </c>
      <c r="J91" s="8">
        <v>661</v>
      </c>
      <c r="K91" s="8">
        <v>796</v>
      </c>
      <c r="L91" s="8">
        <v>1057</v>
      </c>
      <c r="M91" s="8">
        <v>709</v>
      </c>
      <c r="N91" s="8">
        <v>711</v>
      </c>
      <c r="O91" s="8">
        <v>378</v>
      </c>
      <c r="P91" s="8">
        <v>533</v>
      </c>
      <c r="Q91" s="8">
        <v>719</v>
      </c>
      <c r="R91" s="8">
        <v>640</v>
      </c>
      <c r="S91" s="8">
        <v>431</v>
      </c>
      <c r="T91" s="8">
        <v>394</v>
      </c>
      <c r="U91" s="8">
        <v>514</v>
      </c>
      <c r="V91" s="8">
        <v>74</v>
      </c>
      <c r="W91" s="8">
        <v>391</v>
      </c>
      <c r="X91" s="8">
        <v>612</v>
      </c>
      <c r="Y91" s="8">
        <v>110</v>
      </c>
      <c r="Z91" s="8">
        <v>247</v>
      </c>
      <c r="AA91" s="8">
        <v>640</v>
      </c>
      <c r="AB91" s="8">
        <v>344</v>
      </c>
      <c r="AC91" s="8">
        <v>391</v>
      </c>
      <c r="AD91" s="8">
        <v>226</v>
      </c>
      <c r="AE91" s="8">
        <v>281</v>
      </c>
      <c r="AF91" s="8">
        <v>304</v>
      </c>
      <c r="AG91" s="8">
        <v>241</v>
      </c>
      <c r="AH91" s="8">
        <v>432</v>
      </c>
      <c r="AI91" s="8">
        <v>236</v>
      </c>
      <c r="AJ91" s="8">
        <v>435</v>
      </c>
      <c r="AK91" s="8">
        <v>411</v>
      </c>
      <c r="AL91" s="8">
        <v>561</v>
      </c>
      <c r="AM91" s="8">
        <v>417</v>
      </c>
      <c r="AN91" s="8">
        <v>491</v>
      </c>
      <c r="AO91" s="8">
        <v>515</v>
      </c>
      <c r="AP91" s="8">
        <v>503</v>
      </c>
      <c r="AQ91" s="8">
        <v>463</v>
      </c>
      <c r="AR91" s="8">
        <v>462</v>
      </c>
      <c r="AS91" s="8">
        <v>226</v>
      </c>
      <c r="AT91" s="8">
        <v>300</v>
      </c>
      <c r="AU91" s="8">
        <v>395</v>
      </c>
      <c r="AV91" s="8">
        <v>358</v>
      </c>
      <c r="AW91" s="8">
        <v>334</v>
      </c>
      <c r="AX91" s="8">
        <v>236</v>
      </c>
      <c r="AY91" s="8">
        <v>195</v>
      </c>
      <c r="AZ91" s="8">
        <v>718</v>
      </c>
      <c r="BA91" s="8">
        <v>269</v>
      </c>
      <c r="BB91" s="8">
        <v>164</v>
      </c>
      <c r="BC91" s="8">
        <v>276</v>
      </c>
      <c r="BD91" s="8">
        <v>483</v>
      </c>
      <c r="BE91" s="8">
        <v>358</v>
      </c>
      <c r="BF91" s="8">
        <v>533</v>
      </c>
      <c r="BG91" s="8">
        <v>409</v>
      </c>
      <c r="BH91" s="8">
        <v>406</v>
      </c>
      <c r="BI91" s="8">
        <v>250</v>
      </c>
      <c r="BJ91" s="8">
        <v>269</v>
      </c>
      <c r="BK91" s="8">
        <v>333</v>
      </c>
      <c r="BL91" s="8">
        <v>492</v>
      </c>
      <c r="BM91" s="8">
        <v>588</v>
      </c>
      <c r="BN91" s="8">
        <v>802</v>
      </c>
      <c r="BO91" s="8">
        <v>460</v>
      </c>
      <c r="BP91" s="8">
        <v>612</v>
      </c>
      <c r="BQ91" s="8">
        <v>401</v>
      </c>
      <c r="BR91" s="8">
        <v>587</v>
      </c>
      <c r="BS91" s="8">
        <v>358</v>
      </c>
      <c r="BT91" s="8">
        <v>436</v>
      </c>
      <c r="BU91" s="8">
        <v>86</v>
      </c>
      <c r="BV91" s="8">
        <v>437</v>
      </c>
      <c r="BW91" s="8">
        <v>203</v>
      </c>
      <c r="BX91" s="8">
        <v>287</v>
      </c>
      <c r="BY91" s="8">
        <v>344</v>
      </c>
      <c r="BZ91" s="8">
        <v>486</v>
      </c>
      <c r="CA91" s="8">
        <v>557</v>
      </c>
      <c r="CB91" s="8">
        <v>613</v>
      </c>
      <c r="CC91" s="8">
        <v>464</v>
      </c>
      <c r="CD91" s="8">
        <v>611</v>
      </c>
      <c r="CE91" s="8">
        <v>683</v>
      </c>
      <c r="CF91" s="8">
        <v>224</v>
      </c>
      <c r="CG91" s="8">
        <v>326</v>
      </c>
      <c r="CH91" s="8">
        <v>308</v>
      </c>
      <c r="CJ91" s="9"/>
      <c r="CK91" s="9"/>
      <c r="CL91" s="9"/>
      <c r="CM91" s="9"/>
      <c r="CN91" s="9"/>
      <c r="CO91" s="9"/>
      <c r="CP91" s="9"/>
      <c r="CQ91" s="9"/>
      <c r="CR91" s="9"/>
      <c r="CS91" s="9"/>
      <c r="CT91" s="9"/>
      <c r="CU91" s="9"/>
      <c r="CV91" s="9"/>
      <c r="CW91" s="9"/>
      <c r="CX91" s="9"/>
      <c r="CY91" s="9"/>
      <c r="CZ91" s="9"/>
      <c r="DA91" s="9"/>
      <c r="DB91" s="9"/>
      <c r="DC91" s="9"/>
      <c r="DD91" s="9"/>
      <c r="DE91" s="9"/>
      <c r="DF91" s="9"/>
      <c r="DG91" s="9"/>
      <c r="DH91" s="9"/>
      <c r="DI91" s="9"/>
      <c r="DJ91" s="9"/>
      <c r="DK91" s="9"/>
      <c r="DL91" s="9"/>
      <c r="DM91" s="9"/>
      <c r="DN91" s="9"/>
      <c r="DO91" s="9"/>
      <c r="DP91" s="9"/>
      <c r="DQ91" s="9"/>
      <c r="DR91" s="9"/>
      <c r="DS91" s="9"/>
      <c r="DT91" s="9"/>
      <c r="DU91" s="9"/>
      <c r="DV91" s="9"/>
      <c r="DW91" s="9"/>
      <c r="DX91" s="9"/>
      <c r="DY91" s="9"/>
      <c r="DZ91" s="9"/>
      <c r="EA91" s="9"/>
      <c r="EB91" s="9"/>
      <c r="EC91" s="9"/>
      <c r="ED91" s="9"/>
      <c r="EE91" s="9"/>
      <c r="EF91" s="9"/>
      <c r="EG91" s="9"/>
      <c r="EH91" s="9"/>
      <c r="EI91" s="9"/>
      <c r="EJ91" s="9"/>
      <c r="EK91" s="9"/>
      <c r="EL91" s="9"/>
      <c r="EM91" s="9"/>
      <c r="EN91" s="9"/>
      <c r="EO91" s="9"/>
      <c r="EP91" s="9"/>
      <c r="EQ91" s="9"/>
      <c r="ER91" s="9"/>
      <c r="ES91" s="9"/>
      <c r="ET91" s="9"/>
      <c r="EU91" s="9"/>
      <c r="EV91" s="9"/>
      <c r="EW91" s="9"/>
      <c r="EX91" s="9"/>
      <c r="EY91" s="9"/>
      <c r="EZ91" s="9"/>
      <c r="FA91" s="9"/>
      <c r="FB91" s="9"/>
      <c r="FC91" s="9"/>
      <c r="FD91" s="9"/>
      <c r="FE91" s="9"/>
      <c r="FF91" s="9"/>
      <c r="FG91" s="9"/>
      <c r="FH91" s="9"/>
      <c r="FI91" s="9"/>
    </row>
    <row r="92" spans="1:165" x14ac:dyDescent="0.2">
      <c r="A92" s="1" t="s">
        <v>563</v>
      </c>
      <c r="B92" s="1" t="s">
        <v>564</v>
      </c>
      <c r="C92" s="1" t="s">
        <v>419</v>
      </c>
      <c r="D92" s="1" t="str">
        <f>HYPERLINK("http://eros.fiehnlab.ucdavis.edu:8080/binbase-compound/bin/show/201152?db=rtx5","201152")</f>
        <v>201152</v>
      </c>
      <c r="E92" s="1" t="s">
        <v>565</v>
      </c>
      <c r="F92" s="1" t="str">
        <f>HYPERLINK("http://www.genome.ad.jp/dbget-bin/www_bget?compound+C01712","C01712")</f>
        <v>C01712</v>
      </c>
      <c r="G92" s="1" t="str">
        <f>HYPERLINK("http://pubchem.ncbi.nlm.nih.gov/summary/summary.cgi?cid=5282749","5282749")</f>
        <v>5282749</v>
      </c>
      <c r="H92" s="1"/>
      <c r="I92" s="8">
        <v>153</v>
      </c>
      <c r="J92" s="8">
        <v>63</v>
      </c>
      <c r="K92" s="8">
        <v>335</v>
      </c>
      <c r="L92" s="8">
        <v>401</v>
      </c>
      <c r="M92" s="8">
        <v>430</v>
      </c>
      <c r="N92" s="8">
        <v>583</v>
      </c>
      <c r="O92" s="8">
        <v>118</v>
      </c>
      <c r="P92" s="8">
        <v>88</v>
      </c>
      <c r="Q92" s="8">
        <v>103</v>
      </c>
      <c r="R92" s="8">
        <v>304</v>
      </c>
      <c r="S92" s="8">
        <v>97</v>
      </c>
      <c r="T92" s="8">
        <v>64</v>
      </c>
      <c r="U92" s="8">
        <v>309</v>
      </c>
      <c r="V92" s="8">
        <v>450</v>
      </c>
      <c r="W92" s="8">
        <v>506</v>
      </c>
      <c r="X92" s="8">
        <v>88</v>
      </c>
      <c r="Y92" s="8">
        <v>116</v>
      </c>
      <c r="Z92" s="8">
        <v>113</v>
      </c>
      <c r="AA92" s="8">
        <v>187</v>
      </c>
      <c r="AB92" s="8">
        <v>88</v>
      </c>
      <c r="AC92" s="8">
        <v>343</v>
      </c>
      <c r="AD92" s="8">
        <v>439</v>
      </c>
      <c r="AE92" s="8">
        <v>467</v>
      </c>
      <c r="AF92" s="8">
        <v>64</v>
      </c>
      <c r="AG92" s="8">
        <v>119</v>
      </c>
      <c r="AH92" s="8">
        <v>532</v>
      </c>
      <c r="AI92" s="8">
        <v>430</v>
      </c>
      <c r="AJ92" s="8">
        <v>426</v>
      </c>
      <c r="AK92" s="8">
        <v>136</v>
      </c>
      <c r="AL92" s="8">
        <v>519</v>
      </c>
      <c r="AM92" s="8">
        <v>156</v>
      </c>
      <c r="AN92" s="8">
        <v>112</v>
      </c>
      <c r="AO92" s="8">
        <v>593</v>
      </c>
      <c r="AP92" s="8">
        <v>714</v>
      </c>
      <c r="AQ92" s="8">
        <v>87</v>
      </c>
      <c r="AR92" s="8">
        <v>463</v>
      </c>
      <c r="AS92" s="8">
        <v>511</v>
      </c>
      <c r="AT92" s="8">
        <v>431</v>
      </c>
      <c r="AU92" s="8">
        <v>96</v>
      </c>
      <c r="AV92" s="8">
        <v>549</v>
      </c>
      <c r="AW92" s="8">
        <v>89</v>
      </c>
      <c r="AX92" s="8">
        <v>118</v>
      </c>
      <c r="AY92" s="8">
        <v>410</v>
      </c>
      <c r="AZ92" s="8">
        <v>537</v>
      </c>
      <c r="BA92" s="8">
        <v>507</v>
      </c>
      <c r="BB92" s="8">
        <v>292</v>
      </c>
      <c r="BC92" s="8">
        <v>698</v>
      </c>
      <c r="BD92" s="8">
        <v>569</v>
      </c>
      <c r="BE92" s="8">
        <v>152</v>
      </c>
      <c r="BF92" s="8">
        <v>71</v>
      </c>
      <c r="BG92" s="8">
        <v>445</v>
      </c>
      <c r="BH92" s="8">
        <v>43</v>
      </c>
      <c r="BI92" s="8">
        <v>653</v>
      </c>
      <c r="BJ92" s="8">
        <v>54</v>
      </c>
      <c r="BK92" s="8">
        <v>89</v>
      </c>
      <c r="BL92" s="8">
        <v>71</v>
      </c>
      <c r="BM92" s="8">
        <v>100</v>
      </c>
      <c r="BN92" s="8">
        <v>459</v>
      </c>
      <c r="BO92" s="8">
        <v>106</v>
      </c>
      <c r="BP92" s="8">
        <v>510</v>
      </c>
      <c r="BQ92" s="8">
        <v>335</v>
      </c>
      <c r="BR92" s="8">
        <v>632</v>
      </c>
      <c r="BS92" s="8">
        <v>193</v>
      </c>
      <c r="BT92" s="8">
        <v>133</v>
      </c>
      <c r="BU92" s="8">
        <v>94</v>
      </c>
      <c r="BV92" s="8">
        <v>31</v>
      </c>
      <c r="BW92" s="8">
        <v>562</v>
      </c>
      <c r="BX92" s="8">
        <v>348</v>
      </c>
      <c r="BY92" s="8">
        <v>377</v>
      </c>
      <c r="BZ92" s="8">
        <v>471</v>
      </c>
      <c r="CA92" s="8">
        <v>132</v>
      </c>
      <c r="CB92" s="8">
        <v>105</v>
      </c>
      <c r="CC92" s="8">
        <v>45</v>
      </c>
      <c r="CD92" s="8">
        <v>3314</v>
      </c>
      <c r="CE92" s="8">
        <v>425</v>
      </c>
      <c r="CF92" s="8">
        <v>50</v>
      </c>
      <c r="CG92" s="8">
        <v>544</v>
      </c>
      <c r="CH92" s="8">
        <v>130</v>
      </c>
      <c r="CJ92" s="9"/>
      <c r="CK92" s="9"/>
      <c r="CL92" s="9"/>
      <c r="CM92" s="9"/>
      <c r="CN92" s="9"/>
      <c r="CO92" s="9"/>
      <c r="CP92" s="9"/>
      <c r="CQ92" s="9"/>
      <c r="CR92" s="9"/>
      <c r="CS92" s="9"/>
      <c r="CT92" s="9"/>
      <c r="CU92" s="9"/>
      <c r="CV92" s="9"/>
      <c r="CW92" s="9"/>
      <c r="CX92" s="9"/>
      <c r="CY92" s="9"/>
      <c r="CZ92" s="9"/>
      <c r="DA92" s="9"/>
      <c r="DB92" s="9"/>
      <c r="DC92" s="9"/>
      <c r="DD92" s="9"/>
      <c r="DE92" s="9"/>
      <c r="DF92" s="9"/>
      <c r="DG92" s="9"/>
      <c r="DH92" s="9"/>
      <c r="DI92" s="9"/>
      <c r="DJ92" s="9"/>
      <c r="DK92" s="9"/>
      <c r="DL92" s="9"/>
      <c r="DM92" s="9"/>
      <c r="DN92" s="9"/>
      <c r="DO92" s="9"/>
      <c r="DP92" s="9"/>
      <c r="DQ92" s="9"/>
      <c r="DR92" s="9"/>
      <c r="DS92" s="9"/>
      <c r="DT92" s="9"/>
      <c r="DU92" s="9"/>
      <c r="DV92" s="9"/>
      <c r="DW92" s="9"/>
      <c r="DX92" s="9"/>
      <c r="DY92" s="9"/>
      <c r="DZ92" s="9"/>
      <c r="EA92" s="9"/>
      <c r="EB92" s="9"/>
      <c r="EC92" s="9"/>
      <c r="ED92" s="9"/>
      <c r="EE92" s="9"/>
      <c r="EF92" s="9"/>
      <c r="EG92" s="9"/>
      <c r="EH92" s="9"/>
      <c r="EI92" s="9"/>
      <c r="EJ92" s="9"/>
      <c r="EK92" s="9"/>
      <c r="EL92" s="9"/>
      <c r="EM92" s="9"/>
      <c r="EN92" s="9"/>
      <c r="EO92" s="9"/>
      <c r="EP92" s="9"/>
      <c r="EQ92" s="9"/>
      <c r="ER92" s="9"/>
      <c r="ES92" s="9"/>
      <c r="ET92" s="9"/>
      <c r="EU92" s="9"/>
      <c r="EV92" s="9"/>
      <c r="EW92" s="9"/>
      <c r="EX92" s="9"/>
      <c r="EY92" s="9"/>
      <c r="EZ92" s="9"/>
      <c r="FA92" s="9"/>
      <c r="FB92" s="9"/>
      <c r="FC92" s="9"/>
      <c r="FD92" s="9"/>
      <c r="FE92" s="9"/>
      <c r="FF92" s="9"/>
      <c r="FG92" s="9"/>
      <c r="FH92" s="9"/>
      <c r="FI92" s="9"/>
    </row>
    <row r="93" spans="1:165" x14ac:dyDescent="0.2">
      <c r="A93" s="1" t="s">
        <v>566</v>
      </c>
      <c r="B93" s="1" t="s">
        <v>567</v>
      </c>
      <c r="C93" s="1" t="s">
        <v>523</v>
      </c>
      <c r="D93" s="1" t="str">
        <f>HYPERLINK("http://eros.fiehnlab.ucdavis.edu:8080/binbase-compound/bin/show/218955?db=rtx5","218955")</f>
        <v>218955</v>
      </c>
      <c r="E93" s="1" t="s">
        <v>568</v>
      </c>
      <c r="F93" s="1" t="str">
        <f>HYPERLINK("http://www.genome.ad.jp/dbget-bin/www_bget?compound+C02277","C02277")</f>
        <v>C02277</v>
      </c>
      <c r="G93" s="1" t="str">
        <f>HYPERLINK("http://pubchem.ncbi.nlm.nih.gov/summary/summary.cgi?cid=8193","8193")</f>
        <v>8193</v>
      </c>
      <c r="H93" s="1"/>
      <c r="I93" s="8">
        <v>421</v>
      </c>
      <c r="J93" s="8">
        <v>382</v>
      </c>
      <c r="K93" s="8">
        <v>465</v>
      </c>
      <c r="L93" s="8">
        <v>386</v>
      </c>
      <c r="M93" s="8">
        <v>479</v>
      </c>
      <c r="N93" s="8">
        <v>1673</v>
      </c>
      <c r="O93" s="8">
        <v>412</v>
      </c>
      <c r="P93" s="8">
        <v>480</v>
      </c>
      <c r="Q93" s="8">
        <v>677</v>
      </c>
      <c r="R93" s="8">
        <v>560</v>
      </c>
      <c r="S93" s="8">
        <v>570</v>
      </c>
      <c r="T93" s="8">
        <v>524</v>
      </c>
      <c r="U93" s="8">
        <v>380</v>
      </c>
      <c r="V93" s="8">
        <v>514</v>
      </c>
      <c r="W93" s="8">
        <v>407</v>
      </c>
      <c r="X93" s="8">
        <v>507</v>
      </c>
      <c r="Y93" s="8">
        <v>383</v>
      </c>
      <c r="Z93" s="8">
        <v>1474</v>
      </c>
      <c r="AA93" s="8">
        <v>249</v>
      </c>
      <c r="AB93" s="8">
        <v>446</v>
      </c>
      <c r="AC93" s="8">
        <v>706</v>
      </c>
      <c r="AD93" s="8">
        <v>468</v>
      </c>
      <c r="AE93" s="8">
        <v>443</v>
      </c>
      <c r="AF93" s="8">
        <v>657</v>
      </c>
      <c r="AG93" s="8">
        <v>334</v>
      </c>
      <c r="AH93" s="8">
        <v>397</v>
      </c>
      <c r="AI93" s="8">
        <v>410</v>
      </c>
      <c r="AJ93" s="8">
        <v>481</v>
      </c>
      <c r="AK93" s="8">
        <v>486</v>
      </c>
      <c r="AL93" s="8">
        <v>617</v>
      </c>
      <c r="AM93" s="8">
        <v>585</v>
      </c>
      <c r="AN93" s="8">
        <v>520</v>
      </c>
      <c r="AO93" s="8">
        <v>499</v>
      </c>
      <c r="AP93" s="8">
        <v>456</v>
      </c>
      <c r="AQ93" s="8">
        <v>533</v>
      </c>
      <c r="AR93" s="8">
        <v>414</v>
      </c>
      <c r="AS93" s="8">
        <v>575</v>
      </c>
      <c r="AT93" s="8">
        <v>493</v>
      </c>
      <c r="AU93" s="8">
        <v>556</v>
      </c>
      <c r="AV93" s="8">
        <v>464</v>
      </c>
      <c r="AW93" s="8">
        <v>647</v>
      </c>
      <c r="AX93" s="8">
        <v>265</v>
      </c>
      <c r="AY93" s="8">
        <v>417</v>
      </c>
      <c r="AZ93" s="8">
        <v>398</v>
      </c>
      <c r="BA93" s="8">
        <v>479</v>
      </c>
      <c r="BB93" s="8">
        <v>505</v>
      </c>
      <c r="BC93" s="8">
        <v>517</v>
      </c>
      <c r="BD93" s="8">
        <v>530</v>
      </c>
      <c r="BE93" s="8">
        <v>430</v>
      </c>
      <c r="BF93" s="8">
        <v>425</v>
      </c>
      <c r="BG93" s="8">
        <v>501</v>
      </c>
      <c r="BH93" s="8">
        <v>326</v>
      </c>
      <c r="BI93" s="8">
        <v>478</v>
      </c>
      <c r="BJ93" s="8">
        <v>518</v>
      </c>
      <c r="BK93" s="8">
        <v>529</v>
      </c>
      <c r="BL93" s="8">
        <v>499</v>
      </c>
      <c r="BM93" s="8">
        <v>490</v>
      </c>
      <c r="BN93" s="8">
        <v>371</v>
      </c>
      <c r="BO93" s="8">
        <v>466</v>
      </c>
      <c r="BP93" s="8">
        <v>465</v>
      </c>
      <c r="BQ93" s="8">
        <v>358</v>
      </c>
      <c r="BR93" s="8">
        <v>455</v>
      </c>
      <c r="BS93" s="8">
        <v>439</v>
      </c>
      <c r="BT93" s="8">
        <v>484</v>
      </c>
      <c r="BU93" s="8">
        <v>473</v>
      </c>
      <c r="BV93" s="8">
        <v>468</v>
      </c>
      <c r="BW93" s="8">
        <v>403</v>
      </c>
      <c r="BX93" s="8">
        <v>416</v>
      </c>
      <c r="BY93" s="8">
        <v>462</v>
      </c>
      <c r="BZ93" s="8">
        <v>470</v>
      </c>
      <c r="CA93" s="8">
        <v>384</v>
      </c>
      <c r="CB93" s="8">
        <v>308</v>
      </c>
      <c r="CC93" s="8">
        <v>329</v>
      </c>
      <c r="CD93" s="8">
        <v>813</v>
      </c>
      <c r="CE93" s="8">
        <v>379</v>
      </c>
      <c r="CF93" s="8">
        <v>337</v>
      </c>
      <c r="CG93" s="8">
        <v>391</v>
      </c>
      <c r="CH93" s="8">
        <v>411</v>
      </c>
      <c r="CJ93" s="9"/>
      <c r="CK93" s="9"/>
      <c r="CL93" s="9"/>
      <c r="CM93" s="9"/>
      <c r="CN93" s="9"/>
      <c r="CO93" s="9"/>
      <c r="CP93" s="9"/>
      <c r="CQ93" s="9"/>
      <c r="CR93" s="9"/>
      <c r="CS93" s="9"/>
      <c r="CT93" s="9"/>
      <c r="CU93" s="9"/>
      <c r="CV93" s="9"/>
      <c r="CW93" s="9"/>
      <c r="CX93" s="9"/>
      <c r="CY93" s="9"/>
      <c r="CZ93" s="9"/>
      <c r="DA93" s="9"/>
      <c r="DB93" s="9"/>
      <c r="DC93" s="9"/>
      <c r="DD93" s="9"/>
      <c r="DE93" s="9"/>
      <c r="DF93" s="9"/>
      <c r="DG93" s="9"/>
      <c r="DH93" s="9"/>
      <c r="DI93" s="9"/>
      <c r="DJ93" s="9"/>
      <c r="DK93" s="9"/>
      <c r="DL93" s="9"/>
      <c r="DM93" s="9"/>
      <c r="DN93" s="9"/>
      <c r="DO93" s="9"/>
      <c r="DP93" s="9"/>
      <c r="DQ93" s="9"/>
      <c r="DR93" s="9"/>
      <c r="DS93" s="9"/>
      <c r="DT93" s="9"/>
      <c r="DU93" s="9"/>
      <c r="DV93" s="9"/>
      <c r="DW93" s="9"/>
      <c r="DX93" s="9"/>
      <c r="DY93" s="9"/>
      <c r="DZ93" s="9"/>
      <c r="EA93" s="9"/>
      <c r="EB93" s="9"/>
      <c r="EC93" s="9"/>
      <c r="ED93" s="9"/>
      <c r="EE93" s="9"/>
      <c r="EF93" s="9"/>
      <c r="EG93" s="9"/>
      <c r="EH93" s="9"/>
      <c r="EI93" s="9"/>
      <c r="EJ93" s="9"/>
      <c r="EK93" s="9"/>
      <c r="EL93" s="9"/>
      <c r="EM93" s="9"/>
      <c r="EN93" s="9"/>
      <c r="EO93" s="9"/>
      <c r="EP93" s="9"/>
      <c r="EQ93" s="9"/>
      <c r="ER93" s="9"/>
      <c r="ES93" s="9"/>
      <c r="ET93" s="9"/>
      <c r="EU93" s="9"/>
      <c r="EV93" s="9"/>
      <c r="EW93" s="9"/>
      <c r="EX93" s="9"/>
      <c r="EY93" s="9"/>
      <c r="EZ93" s="9"/>
      <c r="FA93" s="9"/>
      <c r="FB93" s="9"/>
      <c r="FC93" s="9"/>
      <c r="FD93" s="9"/>
      <c r="FE93" s="9"/>
      <c r="FF93" s="9"/>
      <c r="FG93" s="9"/>
      <c r="FH93" s="9"/>
      <c r="FI93" s="9"/>
    </row>
    <row r="94" spans="1:165" x14ac:dyDescent="0.2">
      <c r="A94" s="1" t="s">
        <v>569</v>
      </c>
      <c r="B94" s="1" t="s">
        <v>570</v>
      </c>
      <c r="C94" s="1" t="s">
        <v>571</v>
      </c>
      <c r="D94" s="1" t="str">
        <f>HYPERLINK("http://eros.fiehnlab.ucdavis.edu:8080/binbase-compound/bin/show/221584?db=rtx5","221584")</f>
        <v>221584</v>
      </c>
      <c r="E94" s="1" t="s">
        <v>572</v>
      </c>
      <c r="F94" s="1" t="str">
        <f>HYPERLINK("http://www.genome.ad.jp/dbget-bin/www_bget?compound+C08374","C08374")</f>
        <v>C08374</v>
      </c>
      <c r="G94" s="1" t="str">
        <f>HYPERLINK("http://pubchem.ncbi.nlm.nih.gov/summary/summary.cgi?cid=8182","8182")</f>
        <v>8182</v>
      </c>
      <c r="H94" s="1"/>
      <c r="I94" s="8">
        <v>739</v>
      </c>
      <c r="J94" s="8">
        <v>138</v>
      </c>
      <c r="K94" s="8">
        <v>484</v>
      </c>
      <c r="L94" s="8">
        <v>498</v>
      </c>
      <c r="M94" s="8">
        <v>668</v>
      </c>
      <c r="N94" s="8">
        <v>663</v>
      </c>
      <c r="O94" s="8">
        <v>577</v>
      </c>
      <c r="P94" s="8">
        <v>584</v>
      </c>
      <c r="Q94" s="8">
        <v>284</v>
      </c>
      <c r="R94" s="8">
        <v>717</v>
      </c>
      <c r="S94" s="8">
        <v>378</v>
      </c>
      <c r="T94" s="8">
        <v>394</v>
      </c>
      <c r="U94" s="8">
        <v>666</v>
      </c>
      <c r="V94" s="8">
        <v>263</v>
      </c>
      <c r="W94" s="8">
        <v>666</v>
      </c>
      <c r="X94" s="8">
        <v>975</v>
      </c>
      <c r="Y94" s="8">
        <v>560</v>
      </c>
      <c r="Z94" s="8">
        <v>659</v>
      </c>
      <c r="AA94" s="8">
        <v>358</v>
      </c>
      <c r="AB94" s="8">
        <v>1022</v>
      </c>
      <c r="AC94" s="8">
        <v>499</v>
      </c>
      <c r="AD94" s="8">
        <v>180</v>
      </c>
      <c r="AE94" s="8">
        <v>868</v>
      </c>
      <c r="AF94" s="8">
        <v>951</v>
      </c>
      <c r="AG94" s="8">
        <v>790</v>
      </c>
      <c r="AH94" s="8">
        <v>160</v>
      </c>
      <c r="AI94" s="8">
        <v>199</v>
      </c>
      <c r="AJ94" s="8">
        <v>1067</v>
      </c>
      <c r="AK94" s="8">
        <v>706</v>
      </c>
      <c r="AL94" s="8">
        <v>710</v>
      </c>
      <c r="AM94" s="8">
        <v>869</v>
      </c>
      <c r="AN94" s="8">
        <v>333</v>
      </c>
      <c r="AO94" s="8">
        <v>591</v>
      </c>
      <c r="AP94" s="8">
        <v>1081</v>
      </c>
      <c r="AQ94" s="8">
        <v>747</v>
      </c>
      <c r="AR94" s="8">
        <v>597</v>
      </c>
      <c r="AS94" s="8">
        <v>554</v>
      </c>
      <c r="AT94" s="8">
        <v>627</v>
      </c>
      <c r="AU94" s="8">
        <v>490</v>
      </c>
      <c r="AV94" s="8">
        <v>557</v>
      </c>
      <c r="AW94" s="8">
        <v>940</v>
      </c>
      <c r="AX94" s="8">
        <v>368</v>
      </c>
      <c r="AY94" s="8">
        <v>437</v>
      </c>
      <c r="AZ94" s="8">
        <v>868</v>
      </c>
      <c r="BA94" s="8">
        <v>897</v>
      </c>
      <c r="BB94" s="8">
        <v>1090</v>
      </c>
      <c r="BC94" s="8">
        <v>736</v>
      </c>
      <c r="BD94" s="8">
        <v>1057</v>
      </c>
      <c r="BE94" s="8">
        <v>151</v>
      </c>
      <c r="BF94" s="8">
        <v>646</v>
      </c>
      <c r="BG94" s="8">
        <v>472</v>
      </c>
      <c r="BH94" s="8">
        <v>365</v>
      </c>
      <c r="BI94" s="8">
        <v>673</v>
      </c>
      <c r="BJ94" s="8">
        <v>823</v>
      </c>
      <c r="BK94" s="8">
        <v>699</v>
      </c>
      <c r="BL94" s="8">
        <v>583</v>
      </c>
      <c r="BM94" s="8">
        <v>362</v>
      </c>
      <c r="BN94" s="8">
        <v>538</v>
      </c>
      <c r="BO94" s="8">
        <v>717</v>
      </c>
      <c r="BP94" s="8">
        <v>906</v>
      </c>
      <c r="BQ94" s="8">
        <v>525</v>
      </c>
      <c r="BR94" s="8">
        <v>660</v>
      </c>
      <c r="BS94" s="8">
        <v>642</v>
      </c>
      <c r="BT94" s="8">
        <v>350</v>
      </c>
      <c r="BU94" s="8">
        <v>575</v>
      </c>
      <c r="BV94" s="8">
        <v>767</v>
      </c>
      <c r="BW94" s="8">
        <v>1265</v>
      </c>
      <c r="BX94" s="8">
        <v>498</v>
      </c>
      <c r="BY94" s="8">
        <v>655</v>
      </c>
      <c r="BZ94" s="8">
        <v>853</v>
      </c>
      <c r="CA94" s="8">
        <v>486</v>
      </c>
      <c r="CB94" s="8">
        <v>405</v>
      </c>
      <c r="CC94" s="8">
        <v>788</v>
      </c>
      <c r="CD94" s="8">
        <v>144</v>
      </c>
      <c r="CE94" s="8">
        <v>474</v>
      </c>
      <c r="CF94" s="8">
        <v>412</v>
      </c>
      <c r="CG94" s="8">
        <v>324</v>
      </c>
      <c r="CH94" s="8">
        <v>699</v>
      </c>
      <c r="CJ94" s="9"/>
      <c r="CK94" s="9"/>
      <c r="CL94" s="9"/>
      <c r="CM94" s="9"/>
      <c r="CN94" s="9"/>
      <c r="CO94" s="9"/>
      <c r="CP94" s="9"/>
      <c r="CQ94" s="9"/>
      <c r="CR94" s="9"/>
      <c r="CS94" s="9"/>
      <c r="CT94" s="9"/>
      <c r="CU94" s="9"/>
      <c r="CV94" s="9"/>
      <c r="CW94" s="9"/>
      <c r="CX94" s="9"/>
      <c r="CY94" s="9"/>
      <c r="CZ94" s="9"/>
      <c r="DA94" s="9"/>
      <c r="DB94" s="9"/>
      <c r="DC94" s="9"/>
      <c r="DD94" s="9"/>
      <c r="DE94" s="9"/>
      <c r="DF94" s="9"/>
      <c r="DG94" s="9"/>
      <c r="DH94" s="9"/>
      <c r="DI94" s="9"/>
      <c r="DJ94" s="9"/>
      <c r="DK94" s="9"/>
      <c r="DL94" s="9"/>
      <c r="DM94" s="9"/>
      <c r="DN94" s="9"/>
      <c r="DO94" s="9"/>
      <c r="DP94" s="9"/>
      <c r="DQ94" s="9"/>
      <c r="DR94" s="9"/>
      <c r="DS94" s="9"/>
      <c r="DT94" s="9"/>
      <c r="DU94" s="9"/>
      <c r="DV94" s="9"/>
      <c r="DW94" s="9"/>
      <c r="DX94" s="9"/>
      <c r="DY94" s="9"/>
      <c r="DZ94" s="9"/>
      <c r="EA94" s="9"/>
      <c r="EB94" s="9"/>
      <c r="EC94" s="9"/>
      <c r="ED94" s="9"/>
      <c r="EE94" s="9"/>
      <c r="EF94" s="9"/>
      <c r="EG94" s="9"/>
      <c r="EH94" s="9"/>
      <c r="EI94" s="9"/>
      <c r="EJ94" s="9"/>
      <c r="EK94" s="9"/>
      <c r="EL94" s="9"/>
      <c r="EM94" s="9"/>
      <c r="EN94" s="9"/>
      <c r="EO94" s="9"/>
      <c r="EP94" s="9"/>
      <c r="EQ94" s="9"/>
      <c r="ER94" s="9"/>
      <c r="ES94" s="9"/>
      <c r="ET94" s="9"/>
      <c r="EU94" s="9"/>
      <c r="EV94" s="9"/>
      <c r="EW94" s="9"/>
      <c r="EX94" s="9"/>
      <c r="EY94" s="9"/>
      <c r="EZ94" s="9"/>
      <c r="FA94" s="9"/>
      <c r="FB94" s="9"/>
      <c r="FC94" s="9"/>
      <c r="FD94" s="9"/>
      <c r="FE94" s="9"/>
      <c r="FF94" s="9"/>
      <c r="FG94" s="9"/>
      <c r="FH94" s="9"/>
      <c r="FI94" s="9"/>
    </row>
    <row r="95" spans="1:165" x14ac:dyDescent="0.2">
      <c r="A95" s="1" t="s">
        <v>573</v>
      </c>
      <c r="B95" s="1" t="s">
        <v>574</v>
      </c>
      <c r="C95" s="1" t="s">
        <v>382</v>
      </c>
      <c r="D95" s="1" t="str">
        <f>HYPERLINK("http://eros.fiehnlab.ucdavis.edu:8080/binbase-compound/bin/show/243566?db=rtx5","243566")</f>
        <v>243566</v>
      </c>
      <c r="E95" s="1" t="s">
        <v>575</v>
      </c>
      <c r="F95" s="1" t="str">
        <f>HYPERLINK("http://www.genome.ad.jp/dbget-bin/www_bget?compound+C12078","C12078")</f>
        <v>C12078</v>
      </c>
      <c r="G95" s="1" t="str">
        <f>HYPERLINK("http://pubchem.ncbi.nlm.nih.gov/summary/summary.cgi?cid=94391","94391")</f>
        <v>94391</v>
      </c>
      <c r="H95" s="1"/>
      <c r="I95" s="8">
        <v>2649</v>
      </c>
      <c r="J95" s="8">
        <v>2154</v>
      </c>
      <c r="K95" s="8">
        <v>2084</v>
      </c>
      <c r="L95" s="8">
        <v>1920</v>
      </c>
      <c r="M95" s="8">
        <v>2405</v>
      </c>
      <c r="N95" s="8">
        <v>6457</v>
      </c>
      <c r="O95" s="8">
        <v>1824</v>
      </c>
      <c r="P95" s="8">
        <v>2344</v>
      </c>
      <c r="Q95" s="8">
        <v>2379</v>
      </c>
      <c r="R95" s="8">
        <v>2715</v>
      </c>
      <c r="S95" s="8">
        <v>2845</v>
      </c>
      <c r="T95" s="8">
        <v>2162</v>
      </c>
      <c r="U95" s="8">
        <v>1208</v>
      </c>
      <c r="V95" s="8">
        <v>1785</v>
      </c>
      <c r="W95" s="8">
        <v>2109</v>
      </c>
      <c r="X95" s="8">
        <v>3114</v>
      </c>
      <c r="Y95" s="8">
        <v>1696</v>
      </c>
      <c r="Z95" s="8">
        <v>2064</v>
      </c>
      <c r="AA95" s="8">
        <v>1314</v>
      </c>
      <c r="AB95" s="8">
        <v>1909</v>
      </c>
      <c r="AC95" s="8">
        <v>2064</v>
      </c>
      <c r="AD95" s="8">
        <v>2168</v>
      </c>
      <c r="AE95" s="8">
        <v>2232</v>
      </c>
      <c r="AF95" s="8">
        <v>1760</v>
      </c>
      <c r="AG95" s="8">
        <v>1574</v>
      </c>
      <c r="AH95" s="8">
        <v>1951</v>
      </c>
      <c r="AI95" s="8">
        <v>3040</v>
      </c>
      <c r="AJ95" s="8">
        <v>3322</v>
      </c>
      <c r="AK95" s="8">
        <v>2100</v>
      </c>
      <c r="AL95" s="8">
        <v>2718</v>
      </c>
      <c r="AM95" s="8">
        <v>3066</v>
      </c>
      <c r="AN95" s="8">
        <v>2378</v>
      </c>
      <c r="AO95" s="8">
        <v>2427</v>
      </c>
      <c r="AP95" s="8">
        <v>2782</v>
      </c>
      <c r="AQ95" s="8">
        <v>2326</v>
      </c>
      <c r="AR95" s="8">
        <v>2199</v>
      </c>
      <c r="AS95" s="8">
        <v>2385</v>
      </c>
      <c r="AT95" s="8">
        <v>2254</v>
      </c>
      <c r="AU95" s="8">
        <v>2247</v>
      </c>
      <c r="AV95" s="8">
        <v>1994</v>
      </c>
      <c r="AW95" s="8">
        <v>2311</v>
      </c>
      <c r="AX95" s="8">
        <v>2005</v>
      </c>
      <c r="AY95" s="8">
        <v>2300</v>
      </c>
      <c r="AZ95" s="8">
        <v>2787</v>
      </c>
      <c r="BA95" s="8">
        <v>2692</v>
      </c>
      <c r="BB95" s="8">
        <v>2684</v>
      </c>
      <c r="BC95" s="8">
        <v>2705</v>
      </c>
      <c r="BD95" s="8">
        <v>2932</v>
      </c>
      <c r="BE95" s="8">
        <v>2523</v>
      </c>
      <c r="BF95" s="8">
        <v>2092</v>
      </c>
      <c r="BG95" s="8">
        <v>1967</v>
      </c>
      <c r="BH95" s="8">
        <v>987</v>
      </c>
      <c r="BI95" s="8">
        <v>2005</v>
      </c>
      <c r="BJ95" s="8">
        <v>1981</v>
      </c>
      <c r="BK95" s="8">
        <v>2735</v>
      </c>
      <c r="BL95" s="8">
        <v>2583</v>
      </c>
      <c r="BM95" s="8">
        <v>2567</v>
      </c>
      <c r="BN95" s="8">
        <v>1776</v>
      </c>
      <c r="BO95" s="8">
        <v>2320</v>
      </c>
      <c r="BP95" s="8">
        <v>2344</v>
      </c>
      <c r="BQ95" s="8">
        <v>2021</v>
      </c>
      <c r="BR95" s="8">
        <v>2221</v>
      </c>
      <c r="BS95" s="8">
        <v>2327</v>
      </c>
      <c r="BT95" s="8">
        <v>2114</v>
      </c>
      <c r="BU95" s="8">
        <v>2124</v>
      </c>
      <c r="BV95" s="8">
        <v>2294</v>
      </c>
      <c r="BW95" s="8">
        <v>2241</v>
      </c>
      <c r="BX95" s="8">
        <v>2238</v>
      </c>
      <c r="BY95" s="8">
        <v>2173</v>
      </c>
      <c r="BZ95" s="8">
        <v>2408</v>
      </c>
      <c r="CA95" s="8">
        <v>2263</v>
      </c>
      <c r="CB95" s="8">
        <v>1587</v>
      </c>
      <c r="CC95" s="8">
        <v>1976</v>
      </c>
      <c r="CD95" s="8">
        <v>1939</v>
      </c>
      <c r="CE95" s="8">
        <v>2082</v>
      </c>
      <c r="CF95" s="8">
        <v>1678</v>
      </c>
      <c r="CG95" s="8">
        <v>2037</v>
      </c>
      <c r="CH95" s="8">
        <v>2094</v>
      </c>
      <c r="CJ95" s="9"/>
      <c r="CK95" s="9"/>
      <c r="CL95" s="9"/>
      <c r="CM95" s="9"/>
      <c r="CN95" s="9"/>
      <c r="CO95" s="9"/>
      <c r="CP95" s="9"/>
      <c r="CQ95" s="9"/>
      <c r="CR95" s="9"/>
      <c r="CS95" s="9"/>
      <c r="CT95" s="9"/>
      <c r="CU95" s="9"/>
      <c r="CV95" s="9"/>
      <c r="CW95" s="9"/>
      <c r="CX95" s="9"/>
      <c r="CY95" s="9"/>
      <c r="CZ95" s="9"/>
      <c r="DA95" s="9"/>
      <c r="DB95" s="9"/>
      <c r="DC95" s="9"/>
      <c r="DD95" s="9"/>
      <c r="DE95" s="9"/>
      <c r="DF95" s="9"/>
      <c r="DG95" s="9"/>
      <c r="DH95" s="9"/>
      <c r="DI95" s="9"/>
      <c r="DJ95" s="9"/>
      <c r="DK95" s="9"/>
      <c r="DL95" s="9"/>
      <c r="DM95" s="9"/>
      <c r="DN95" s="9"/>
      <c r="DO95" s="9"/>
      <c r="DP95" s="9"/>
      <c r="DQ95" s="9"/>
      <c r="DR95" s="9"/>
      <c r="DS95" s="9"/>
      <c r="DT95" s="9"/>
      <c r="DU95" s="9"/>
      <c r="DV95" s="9"/>
      <c r="DW95" s="9"/>
      <c r="DX95" s="9"/>
      <c r="DY95" s="9"/>
      <c r="DZ95" s="9"/>
      <c r="EA95" s="9"/>
      <c r="EB95" s="9"/>
      <c r="EC95" s="9"/>
      <c r="ED95" s="9"/>
      <c r="EE95" s="9"/>
      <c r="EF95" s="9"/>
      <c r="EG95" s="9"/>
      <c r="EH95" s="9"/>
      <c r="EI95" s="9"/>
      <c r="EJ95" s="9"/>
      <c r="EK95" s="9"/>
      <c r="EL95" s="9"/>
      <c r="EM95" s="9"/>
      <c r="EN95" s="9"/>
      <c r="EO95" s="9"/>
      <c r="EP95" s="9"/>
      <c r="EQ95" s="9"/>
      <c r="ER95" s="9"/>
      <c r="ES95" s="9"/>
      <c r="ET95" s="9"/>
      <c r="EU95" s="9"/>
      <c r="EV95" s="9"/>
      <c r="EW95" s="9"/>
      <c r="EX95" s="9"/>
      <c r="EY95" s="9"/>
      <c r="EZ95" s="9"/>
      <c r="FA95" s="9"/>
      <c r="FB95" s="9"/>
      <c r="FC95" s="9"/>
      <c r="FD95" s="9"/>
      <c r="FE95" s="9"/>
      <c r="FF95" s="9"/>
      <c r="FG95" s="9"/>
      <c r="FH95" s="9"/>
      <c r="FI95" s="9"/>
    </row>
    <row r="96" spans="1:165" x14ac:dyDescent="0.2">
      <c r="A96" s="1" t="s">
        <v>576</v>
      </c>
      <c r="B96" s="1" t="s">
        <v>577</v>
      </c>
      <c r="C96" s="1" t="s">
        <v>578</v>
      </c>
      <c r="D96" s="1" t="str">
        <f>HYPERLINK("http://eros.fiehnlab.ucdavis.edu:8080/binbase-compound/bin/show/203268?db=rtx5","203268")</f>
        <v>203268</v>
      </c>
      <c r="E96" s="1" t="s">
        <v>579</v>
      </c>
      <c r="F96" s="1" t="str">
        <f>HYPERLINK("http://www.genome.ad.jp/dbget-bin/www_bget?compound+C00055","C00055")</f>
        <v>C00055</v>
      </c>
      <c r="G96" s="1" t="str">
        <f>HYPERLINK("http://pubchem.ncbi.nlm.nih.gov/summary/summary.cgi?cid=6131","6131")</f>
        <v>6131</v>
      </c>
      <c r="H96" s="1"/>
      <c r="I96" s="8">
        <v>4942</v>
      </c>
      <c r="J96" s="8">
        <v>14307</v>
      </c>
      <c r="K96" s="8">
        <v>9421</v>
      </c>
      <c r="L96" s="8">
        <v>5581</v>
      </c>
      <c r="M96" s="8">
        <v>19945</v>
      </c>
      <c r="N96" s="8">
        <v>14040</v>
      </c>
      <c r="O96" s="8">
        <v>14145</v>
      </c>
      <c r="P96" s="8">
        <v>19336</v>
      </c>
      <c r="Q96" s="8">
        <v>14387</v>
      </c>
      <c r="R96" s="8">
        <v>20289</v>
      </c>
      <c r="S96" s="8">
        <v>20963</v>
      </c>
      <c r="T96" s="8">
        <v>15989</v>
      </c>
      <c r="U96" s="8">
        <v>10556</v>
      </c>
      <c r="V96" s="8">
        <v>15129</v>
      </c>
      <c r="W96" s="8">
        <v>1043</v>
      </c>
      <c r="X96" s="8">
        <v>13574</v>
      </c>
      <c r="Y96" s="8">
        <v>11321</v>
      </c>
      <c r="Z96" s="8">
        <v>14941</v>
      </c>
      <c r="AA96" s="8">
        <v>11054</v>
      </c>
      <c r="AB96" s="8">
        <v>2674</v>
      </c>
      <c r="AC96" s="8">
        <v>6869</v>
      </c>
      <c r="AD96" s="8">
        <v>17129</v>
      </c>
      <c r="AE96" s="8">
        <v>2068</v>
      </c>
      <c r="AF96" s="8">
        <v>8254</v>
      </c>
      <c r="AG96" s="8">
        <v>11958</v>
      </c>
      <c r="AH96" s="8">
        <v>1210</v>
      </c>
      <c r="AI96" s="8">
        <v>684</v>
      </c>
      <c r="AJ96" s="8">
        <v>3351</v>
      </c>
      <c r="AK96" s="8">
        <v>9590</v>
      </c>
      <c r="AL96" s="8">
        <v>895</v>
      </c>
      <c r="AM96" s="8">
        <v>24371</v>
      </c>
      <c r="AN96" s="8">
        <v>22773</v>
      </c>
      <c r="AO96" s="8">
        <v>15211</v>
      </c>
      <c r="AP96" s="8">
        <v>20003</v>
      </c>
      <c r="AQ96" s="8">
        <v>17513</v>
      </c>
      <c r="AR96" s="8">
        <v>442</v>
      </c>
      <c r="AS96" s="8">
        <v>19487</v>
      </c>
      <c r="AT96" s="8">
        <v>17266</v>
      </c>
      <c r="AU96" s="8">
        <v>17417</v>
      </c>
      <c r="AV96" s="8">
        <v>12860</v>
      </c>
      <c r="AW96" s="8">
        <v>1403</v>
      </c>
      <c r="AX96" s="8">
        <v>13802</v>
      </c>
      <c r="AY96" s="8">
        <v>18175</v>
      </c>
      <c r="AZ96" s="8">
        <v>19484</v>
      </c>
      <c r="BA96" s="8">
        <v>20161</v>
      </c>
      <c r="BB96" s="8">
        <v>21048</v>
      </c>
      <c r="BC96" s="8">
        <v>18607</v>
      </c>
      <c r="BD96" s="8">
        <v>17408</v>
      </c>
      <c r="BE96" s="8">
        <v>18768</v>
      </c>
      <c r="BF96" s="8">
        <v>2718</v>
      </c>
      <c r="BG96" s="8">
        <v>16123</v>
      </c>
      <c r="BH96" s="8">
        <v>14694</v>
      </c>
      <c r="BI96" s="8">
        <v>12389</v>
      </c>
      <c r="BJ96" s="8">
        <v>17150</v>
      </c>
      <c r="BK96" s="8">
        <v>2138</v>
      </c>
      <c r="BL96" s="8">
        <v>20302</v>
      </c>
      <c r="BM96" s="8">
        <v>21628</v>
      </c>
      <c r="BN96" s="8">
        <v>15257</v>
      </c>
      <c r="BO96" s="8">
        <v>20644</v>
      </c>
      <c r="BP96" s="8">
        <v>19314</v>
      </c>
      <c r="BQ96" s="8">
        <v>2723</v>
      </c>
      <c r="BR96" s="8">
        <v>13629</v>
      </c>
      <c r="BS96" s="8">
        <v>17386</v>
      </c>
      <c r="BT96" s="8">
        <v>15546</v>
      </c>
      <c r="BU96" s="8">
        <v>12202</v>
      </c>
      <c r="BV96" s="8">
        <v>17042</v>
      </c>
      <c r="BW96" s="8">
        <v>13615</v>
      </c>
      <c r="BX96" s="8">
        <v>3189</v>
      </c>
      <c r="BY96" s="8">
        <v>16923</v>
      </c>
      <c r="BZ96" s="8">
        <v>18425</v>
      </c>
      <c r="CA96" s="8">
        <v>1771</v>
      </c>
      <c r="CB96" s="8">
        <v>1390</v>
      </c>
      <c r="CC96" s="8">
        <v>10634</v>
      </c>
      <c r="CD96" s="8">
        <v>12607</v>
      </c>
      <c r="CE96" s="8">
        <v>2072</v>
      </c>
      <c r="CF96" s="8">
        <v>13445</v>
      </c>
      <c r="CG96" s="8">
        <v>12022</v>
      </c>
      <c r="CH96" s="8">
        <v>1844</v>
      </c>
      <c r="CJ96" s="9"/>
      <c r="CK96" s="9"/>
      <c r="CL96" s="9"/>
      <c r="CM96" s="9"/>
      <c r="CN96" s="9"/>
      <c r="CO96" s="9"/>
      <c r="CP96" s="9"/>
      <c r="CQ96" s="9"/>
      <c r="CR96" s="9"/>
      <c r="CS96" s="9"/>
      <c r="CT96" s="9"/>
      <c r="CU96" s="9"/>
      <c r="CV96" s="9"/>
      <c r="CW96" s="9"/>
      <c r="CX96" s="9"/>
      <c r="CY96" s="9"/>
      <c r="CZ96" s="9"/>
      <c r="DA96" s="9"/>
      <c r="DB96" s="9"/>
      <c r="DC96" s="9"/>
      <c r="DD96" s="9"/>
      <c r="DE96" s="9"/>
      <c r="DF96" s="9"/>
      <c r="DG96" s="9"/>
      <c r="DH96" s="9"/>
      <c r="DI96" s="9"/>
      <c r="DJ96" s="9"/>
      <c r="DK96" s="9"/>
      <c r="DL96" s="9"/>
      <c r="DM96" s="9"/>
      <c r="DN96" s="9"/>
      <c r="DO96" s="9"/>
      <c r="DP96" s="9"/>
      <c r="DQ96" s="9"/>
      <c r="DR96" s="9"/>
      <c r="DS96" s="9"/>
      <c r="DT96" s="9"/>
      <c r="DU96" s="9"/>
      <c r="DV96" s="9"/>
      <c r="DW96" s="9"/>
      <c r="DX96" s="9"/>
      <c r="DY96" s="9"/>
      <c r="DZ96" s="9"/>
      <c r="EA96" s="9"/>
      <c r="EB96" s="9"/>
      <c r="EC96" s="9"/>
      <c r="ED96" s="9"/>
      <c r="EE96" s="9"/>
      <c r="EF96" s="9"/>
      <c r="EG96" s="9"/>
      <c r="EH96" s="9"/>
      <c r="EI96" s="9"/>
      <c r="EJ96" s="9"/>
      <c r="EK96" s="9"/>
      <c r="EL96" s="9"/>
      <c r="EM96" s="9"/>
      <c r="EN96" s="9"/>
      <c r="EO96" s="9"/>
      <c r="EP96" s="9"/>
      <c r="EQ96" s="9"/>
      <c r="ER96" s="9"/>
      <c r="ES96" s="9"/>
      <c r="ET96" s="9"/>
      <c r="EU96" s="9"/>
      <c r="EV96" s="9"/>
      <c r="EW96" s="9"/>
      <c r="EX96" s="9"/>
      <c r="EY96" s="9"/>
      <c r="EZ96" s="9"/>
      <c r="FA96" s="9"/>
      <c r="FB96" s="9"/>
      <c r="FC96" s="9"/>
      <c r="FD96" s="9"/>
      <c r="FE96" s="9"/>
      <c r="FF96" s="9"/>
      <c r="FG96" s="9"/>
      <c r="FH96" s="9"/>
      <c r="FI96" s="9"/>
    </row>
    <row r="97" spans="1:165" x14ac:dyDescent="0.2">
      <c r="A97" s="1" t="s">
        <v>580</v>
      </c>
      <c r="B97" s="1" t="s">
        <v>581</v>
      </c>
      <c r="C97" s="1" t="s">
        <v>582</v>
      </c>
      <c r="D97" s="1" t="str">
        <f>HYPERLINK("http://eros.fiehnlab.ucdavis.edu:8080/binbase-compound/bin/show/200918?db=rtx5","200918")</f>
        <v>200918</v>
      </c>
      <c r="E97" s="1" t="s">
        <v>583</v>
      </c>
      <c r="F97" s="1" t="str">
        <f>HYPERLINK("http://www.genome.ad.jp/dbget-bin/www_bget?compound+C00097","C00097")</f>
        <v>C00097</v>
      </c>
      <c r="G97" s="1" t="str">
        <f>HYPERLINK("http://pubchem.ncbi.nlm.nih.gov/summary/summary.cgi?cid=594","594")</f>
        <v>594</v>
      </c>
      <c r="H97" s="1"/>
      <c r="I97" s="8">
        <v>497</v>
      </c>
      <c r="J97" s="8">
        <v>756</v>
      </c>
      <c r="K97" s="8">
        <v>548</v>
      </c>
      <c r="L97" s="8">
        <v>342</v>
      </c>
      <c r="M97" s="8">
        <v>806</v>
      </c>
      <c r="N97" s="8">
        <v>686</v>
      </c>
      <c r="O97" s="8">
        <v>156</v>
      </c>
      <c r="P97" s="8">
        <v>191</v>
      </c>
      <c r="Q97" s="8">
        <v>212</v>
      </c>
      <c r="R97" s="8">
        <v>107</v>
      </c>
      <c r="S97" s="8">
        <v>170</v>
      </c>
      <c r="T97" s="8">
        <v>129</v>
      </c>
      <c r="U97" s="8">
        <v>102</v>
      </c>
      <c r="V97" s="8">
        <v>130</v>
      </c>
      <c r="W97" s="8">
        <v>99</v>
      </c>
      <c r="X97" s="8">
        <v>153</v>
      </c>
      <c r="Y97" s="8">
        <v>90</v>
      </c>
      <c r="Z97" s="8">
        <v>95</v>
      </c>
      <c r="AA97" s="8">
        <v>264</v>
      </c>
      <c r="AB97" s="8">
        <v>162</v>
      </c>
      <c r="AC97" s="8">
        <v>140</v>
      </c>
      <c r="AD97" s="8">
        <v>105</v>
      </c>
      <c r="AE97" s="8">
        <v>102</v>
      </c>
      <c r="AF97" s="8">
        <v>129</v>
      </c>
      <c r="AG97" s="8">
        <v>159</v>
      </c>
      <c r="AH97" s="8">
        <v>110</v>
      </c>
      <c r="AI97" s="8">
        <v>199</v>
      </c>
      <c r="AJ97" s="8">
        <v>237</v>
      </c>
      <c r="AK97" s="8">
        <v>93</v>
      </c>
      <c r="AL97" s="8">
        <v>133</v>
      </c>
      <c r="AM97" s="8">
        <v>203</v>
      </c>
      <c r="AN97" s="8">
        <v>187</v>
      </c>
      <c r="AO97" s="8">
        <v>183</v>
      </c>
      <c r="AP97" s="8">
        <v>224</v>
      </c>
      <c r="AQ97" s="8">
        <v>180</v>
      </c>
      <c r="AR97" s="8">
        <v>258</v>
      </c>
      <c r="AS97" s="8">
        <v>254</v>
      </c>
      <c r="AT97" s="8">
        <v>152</v>
      </c>
      <c r="AU97" s="8">
        <v>145</v>
      </c>
      <c r="AV97" s="8">
        <v>136</v>
      </c>
      <c r="AW97" s="8">
        <v>203</v>
      </c>
      <c r="AX97" s="8">
        <v>136</v>
      </c>
      <c r="AY97" s="8">
        <v>155</v>
      </c>
      <c r="AZ97" s="8">
        <v>146</v>
      </c>
      <c r="BA97" s="8">
        <v>177</v>
      </c>
      <c r="BB97" s="8">
        <v>109</v>
      </c>
      <c r="BC97" s="8">
        <v>160</v>
      </c>
      <c r="BD97" s="8">
        <v>141</v>
      </c>
      <c r="BE97" s="8">
        <v>162</v>
      </c>
      <c r="BF97" s="8">
        <v>132</v>
      </c>
      <c r="BG97" s="8">
        <v>202</v>
      </c>
      <c r="BH97" s="8">
        <v>138</v>
      </c>
      <c r="BI97" s="8">
        <v>97</v>
      </c>
      <c r="BJ97" s="8">
        <v>153</v>
      </c>
      <c r="BK97" s="8">
        <v>93</v>
      </c>
      <c r="BL97" s="8">
        <v>147</v>
      </c>
      <c r="BM97" s="8">
        <v>193</v>
      </c>
      <c r="BN97" s="8">
        <v>286</v>
      </c>
      <c r="BO97" s="8">
        <v>168</v>
      </c>
      <c r="BP97" s="8">
        <v>165</v>
      </c>
      <c r="BQ97" s="8">
        <v>274</v>
      </c>
      <c r="BR97" s="8">
        <v>150</v>
      </c>
      <c r="BS97" s="8">
        <v>145</v>
      </c>
      <c r="BT97" s="8">
        <v>86</v>
      </c>
      <c r="BU97" s="8">
        <v>111</v>
      </c>
      <c r="BV97" s="8">
        <v>120</v>
      </c>
      <c r="BW97" s="8">
        <v>139</v>
      </c>
      <c r="BX97" s="8">
        <v>98</v>
      </c>
      <c r="BY97" s="8">
        <v>103</v>
      </c>
      <c r="BZ97" s="8">
        <v>139</v>
      </c>
      <c r="CA97" s="8">
        <v>105</v>
      </c>
      <c r="CB97" s="8">
        <v>112</v>
      </c>
      <c r="CC97" s="8">
        <v>162</v>
      </c>
      <c r="CD97" s="8">
        <v>205</v>
      </c>
      <c r="CE97" s="8">
        <v>110</v>
      </c>
      <c r="CF97" s="8">
        <v>111</v>
      </c>
      <c r="CG97" s="8">
        <v>209</v>
      </c>
      <c r="CH97" s="8">
        <v>100</v>
      </c>
      <c r="CJ97" s="9"/>
      <c r="CK97" s="9"/>
      <c r="CL97" s="9"/>
      <c r="CM97" s="9"/>
      <c r="CN97" s="9"/>
      <c r="CO97" s="9"/>
      <c r="CP97" s="9"/>
      <c r="CQ97" s="9"/>
      <c r="CR97" s="9"/>
      <c r="CS97" s="9"/>
      <c r="CT97" s="9"/>
      <c r="CU97" s="9"/>
      <c r="CV97" s="9"/>
      <c r="CW97" s="9"/>
      <c r="CX97" s="9"/>
      <c r="CY97" s="9"/>
      <c r="CZ97" s="9"/>
      <c r="DA97" s="9"/>
      <c r="DB97" s="9"/>
      <c r="DC97" s="9"/>
      <c r="DD97" s="9"/>
      <c r="DE97" s="9"/>
      <c r="DF97" s="9"/>
      <c r="DG97" s="9"/>
      <c r="DH97" s="9"/>
      <c r="DI97" s="9"/>
      <c r="DJ97" s="9"/>
      <c r="DK97" s="9"/>
      <c r="DL97" s="9"/>
      <c r="DM97" s="9"/>
      <c r="DN97" s="9"/>
      <c r="DO97" s="9"/>
      <c r="DP97" s="9"/>
      <c r="DQ97" s="9"/>
      <c r="DR97" s="9"/>
      <c r="DS97" s="9"/>
      <c r="DT97" s="9"/>
      <c r="DU97" s="9"/>
      <c r="DV97" s="9"/>
      <c r="DW97" s="9"/>
      <c r="DX97" s="9"/>
      <c r="DY97" s="9"/>
      <c r="DZ97" s="9"/>
      <c r="EA97" s="9"/>
      <c r="EB97" s="9"/>
      <c r="EC97" s="9"/>
      <c r="ED97" s="9"/>
      <c r="EE97" s="9"/>
      <c r="EF97" s="9"/>
      <c r="EG97" s="9"/>
      <c r="EH97" s="9"/>
      <c r="EI97" s="9"/>
      <c r="EJ97" s="9"/>
      <c r="EK97" s="9"/>
      <c r="EL97" s="9"/>
      <c r="EM97" s="9"/>
      <c r="EN97" s="9"/>
      <c r="EO97" s="9"/>
      <c r="EP97" s="9"/>
      <c r="EQ97" s="9"/>
      <c r="ER97" s="9"/>
      <c r="ES97" s="9"/>
      <c r="ET97" s="9"/>
      <c r="EU97" s="9"/>
      <c r="EV97" s="9"/>
      <c r="EW97" s="9"/>
      <c r="EX97" s="9"/>
      <c r="EY97" s="9"/>
      <c r="EZ97" s="9"/>
      <c r="FA97" s="9"/>
      <c r="FB97" s="9"/>
      <c r="FC97" s="9"/>
      <c r="FD97" s="9"/>
      <c r="FE97" s="9"/>
      <c r="FF97" s="9"/>
      <c r="FG97" s="9"/>
      <c r="FH97" s="9"/>
      <c r="FI97" s="9"/>
    </row>
    <row r="98" spans="1:165" x14ac:dyDescent="0.2">
      <c r="A98" s="1" t="s">
        <v>584</v>
      </c>
      <c r="B98" s="1" t="s">
        <v>585</v>
      </c>
      <c r="C98" s="1" t="s">
        <v>586</v>
      </c>
      <c r="D98" s="1" t="str">
        <f>HYPERLINK("http://eros.fiehnlab.ucdavis.edu:8080/binbase-compound/bin/show/199603?db=rtx5","199603")</f>
        <v>199603</v>
      </c>
      <c r="E98" s="1" t="s">
        <v>587</v>
      </c>
      <c r="F98" s="1" t="str">
        <f>HYPERLINK("http://www.genome.ad.jp/dbget-bin/www_bget?compound+C00791","C00791")</f>
        <v>C00791</v>
      </c>
      <c r="G98" s="1" t="str">
        <f>HYPERLINK("http://pubchem.ncbi.nlm.nih.gov/summary/summary.cgi?cid=588","588")</f>
        <v>588</v>
      </c>
      <c r="H98" s="1"/>
      <c r="I98" s="8">
        <v>2473</v>
      </c>
      <c r="J98" s="8">
        <v>1501</v>
      </c>
      <c r="K98" s="8">
        <v>1397</v>
      </c>
      <c r="L98" s="8">
        <v>533</v>
      </c>
      <c r="M98" s="8">
        <v>1968</v>
      </c>
      <c r="N98" s="8">
        <v>1622</v>
      </c>
      <c r="O98" s="8">
        <v>4360</v>
      </c>
      <c r="P98" s="8">
        <v>3552</v>
      </c>
      <c r="Q98" s="8">
        <v>5796</v>
      </c>
      <c r="R98" s="8">
        <v>3087</v>
      </c>
      <c r="S98" s="8">
        <v>3535</v>
      </c>
      <c r="T98" s="8">
        <v>2201</v>
      </c>
      <c r="U98" s="8">
        <v>6120</v>
      </c>
      <c r="V98" s="8">
        <v>3577</v>
      </c>
      <c r="W98" s="8">
        <v>7102</v>
      </c>
      <c r="X98" s="8">
        <v>4581</v>
      </c>
      <c r="Y98" s="8">
        <v>2551</v>
      </c>
      <c r="Z98" s="8">
        <v>1326</v>
      </c>
      <c r="AA98" s="8">
        <v>4064</v>
      </c>
      <c r="AB98" s="8">
        <v>2373</v>
      </c>
      <c r="AC98" s="8">
        <v>2943</v>
      </c>
      <c r="AD98" s="8">
        <v>1691</v>
      </c>
      <c r="AE98" s="8">
        <v>7880</v>
      </c>
      <c r="AF98" s="8">
        <v>1968</v>
      </c>
      <c r="AG98" s="8">
        <v>6407</v>
      </c>
      <c r="AH98" s="8">
        <v>3836</v>
      </c>
      <c r="AI98" s="8">
        <v>2507</v>
      </c>
      <c r="AJ98" s="8">
        <v>11468</v>
      </c>
      <c r="AK98" s="8">
        <v>3744</v>
      </c>
      <c r="AL98" s="8">
        <v>2365</v>
      </c>
      <c r="AM98" s="8">
        <v>6286</v>
      </c>
      <c r="AN98" s="8">
        <v>5856</v>
      </c>
      <c r="AO98" s="8">
        <v>2495</v>
      </c>
      <c r="AP98" s="8">
        <v>8749</v>
      </c>
      <c r="AQ98" s="8">
        <v>4318</v>
      </c>
      <c r="AR98" s="8">
        <v>2857</v>
      </c>
      <c r="AS98" s="8">
        <v>8148</v>
      </c>
      <c r="AT98" s="8">
        <v>3892</v>
      </c>
      <c r="AU98" s="8">
        <v>2975</v>
      </c>
      <c r="AV98" s="8">
        <v>3517</v>
      </c>
      <c r="AW98" s="8">
        <v>11996</v>
      </c>
      <c r="AX98" s="8">
        <v>2914</v>
      </c>
      <c r="AY98" s="8">
        <v>4708</v>
      </c>
      <c r="AZ98" s="8">
        <v>11035</v>
      </c>
      <c r="BA98" s="8">
        <v>6658</v>
      </c>
      <c r="BB98" s="8">
        <v>6158</v>
      </c>
      <c r="BC98" s="8">
        <v>4996</v>
      </c>
      <c r="BD98" s="8">
        <v>4463</v>
      </c>
      <c r="BE98" s="8">
        <v>10143</v>
      </c>
      <c r="BF98" s="8">
        <v>4127</v>
      </c>
      <c r="BG98" s="8">
        <v>5079</v>
      </c>
      <c r="BH98" s="8">
        <v>4137</v>
      </c>
      <c r="BI98" s="8">
        <v>7585</v>
      </c>
      <c r="BJ98" s="8">
        <v>3557</v>
      </c>
      <c r="BK98" s="8">
        <v>5521</v>
      </c>
      <c r="BL98" s="8">
        <v>3500</v>
      </c>
      <c r="BM98" s="8">
        <v>3345</v>
      </c>
      <c r="BN98" s="8">
        <v>10780</v>
      </c>
      <c r="BO98" s="8">
        <v>13684</v>
      </c>
      <c r="BP98" s="8">
        <v>6111</v>
      </c>
      <c r="BQ98" s="8">
        <v>8467</v>
      </c>
      <c r="BR98" s="8">
        <v>6768</v>
      </c>
      <c r="BS98" s="8">
        <v>5894</v>
      </c>
      <c r="BT98" s="8">
        <v>5191</v>
      </c>
      <c r="BU98" s="8">
        <v>3985</v>
      </c>
      <c r="BV98" s="8">
        <v>2805</v>
      </c>
      <c r="BW98" s="8">
        <v>6187</v>
      </c>
      <c r="BX98" s="8">
        <v>3516</v>
      </c>
      <c r="BY98" s="8">
        <v>1684</v>
      </c>
      <c r="BZ98" s="8">
        <v>9058</v>
      </c>
      <c r="CA98" s="8">
        <v>5689</v>
      </c>
      <c r="CB98" s="8">
        <v>3048</v>
      </c>
      <c r="CC98" s="8">
        <v>4598</v>
      </c>
      <c r="CD98" s="8">
        <v>5597</v>
      </c>
      <c r="CE98" s="8">
        <v>4611</v>
      </c>
      <c r="CF98" s="8">
        <v>2636</v>
      </c>
      <c r="CG98" s="8">
        <v>9155</v>
      </c>
      <c r="CH98" s="8">
        <v>6144</v>
      </c>
      <c r="CJ98" s="9"/>
      <c r="CK98" s="9"/>
      <c r="CL98" s="9"/>
      <c r="CM98" s="9"/>
      <c r="CN98" s="9"/>
      <c r="CO98" s="9"/>
      <c r="CP98" s="9"/>
      <c r="CQ98" s="9"/>
      <c r="CR98" s="9"/>
      <c r="CS98" s="9"/>
      <c r="CT98" s="9"/>
      <c r="CU98" s="9"/>
      <c r="CV98" s="9"/>
      <c r="CW98" s="9"/>
      <c r="CX98" s="9"/>
      <c r="CY98" s="9"/>
      <c r="CZ98" s="9"/>
      <c r="DA98" s="9"/>
      <c r="DB98" s="9"/>
      <c r="DC98" s="9"/>
      <c r="DD98" s="9"/>
      <c r="DE98" s="9"/>
      <c r="DF98" s="9"/>
      <c r="DG98" s="9"/>
      <c r="DH98" s="9"/>
      <c r="DI98" s="9"/>
      <c r="DJ98" s="9"/>
      <c r="DK98" s="9"/>
      <c r="DL98" s="9"/>
      <c r="DM98" s="9"/>
      <c r="DN98" s="9"/>
      <c r="DO98" s="9"/>
      <c r="DP98" s="9"/>
      <c r="DQ98" s="9"/>
      <c r="DR98" s="9"/>
      <c r="DS98" s="9"/>
      <c r="DT98" s="9"/>
      <c r="DU98" s="9"/>
      <c r="DV98" s="9"/>
      <c r="DW98" s="9"/>
      <c r="DX98" s="9"/>
      <c r="DY98" s="9"/>
      <c r="DZ98" s="9"/>
      <c r="EA98" s="9"/>
      <c r="EB98" s="9"/>
      <c r="EC98" s="9"/>
      <c r="ED98" s="9"/>
      <c r="EE98" s="9"/>
      <c r="EF98" s="9"/>
      <c r="EG98" s="9"/>
      <c r="EH98" s="9"/>
      <c r="EI98" s="9"/>
      <c r="EJ98" s="9"/>
      <c r="EK98" s="9"/>
      <c r="EL98" s="9"/>
      <c r="EM98" s="9"/>
      <c r="EN98" s="9"/>
      <c r="EO98" s="9"/>
      <c r="EP98" s="9"/>
      <c r="EQ98" s="9"/>
      <c r="ER98" s="9"/>
      <c r="ES98" s="9"/>
      <c r="ET98" s="9"/>
      <c r="EU98" s="9"/>
      <c r="EV98" s="9"/>
      <c r="EW98" s="9"/>
      <c r="EX98" s="9"/>
      <c r="EY98" s="9"/>
      <c r="EZ98" s="9"/>
      <c r="FA98" s="9"/>
      <c r="FB98" s="9"/>
      <c r="FC98" s="9"/>
      <c r="FD98" s="9"/>
      <c r="FE98" s="9"/>
      <c r="FF98" s="9"/>
      <c r="FG98" s="9"/>
      <c r="FH98" s="9"/>
      <c r="FI98" s="9"/>
    </row>
    <row r="99" spans="1:165" x14ac:dyDescent="0.2">
      <c r="A99" s="1" t="s">
        <v>588</v>
      </c>
      <c r="B99" s="1" t="s">
        <v>589</v>
      </c>
      <c r="C99" s="1" t="s">
        <v>325</v>
      </c>
      <c r="D99" s="1" t="str">
        <f>HYPERLINK("http://eros.fiehnlab.ucdavis.edu:8080/binbase-compound/bin/show/348765?db=rtx5","348765")</f>
        <v>348765</v>
      </c>
      <c r="E99" s="1" t="s">
        <v>590</v>
      </c>
      <c r="F99" s="1" t="str">
        <f>HYPERLINK("http://www.genome.ad.jp/dbget-bin/www_bget?compound+C00815","C00815")</f>
        <v>C00815</v>
      </c>
      <c r="G99" s="1" t="str">
        <f>HYPERLINK("http://pubchem.ncbi.nlm.nih.gov/summary/summary.cgi?cid=1081","1081")</f>
        <v>1081</v>
      </c>
      <c r="H99" s="1"/>
      <c r="I99" s="8">
        <v>310</v>
      </c>
      <c r="J99" s="8">
        <v>343</v>
      </c>
      <c r="K99" s="8">
        <v>229</v>
      </c>
      <c r="L99" s="8">
        <v>182</v>
      </c>
      <c r="M99" s="8">
        <v>357</v>
      </c>
      <c r="N99" s="8">
        <v>362</v>
      </c>
      <c r="O99" s="8">
        <v>218</v>
      </c>
      <c r="P99" s="8">
        <v>248</v>
      </c>
      <c r="Q99" s="8">
        <v>291</v>
      </c>
      <c r="R99" s="8">
        <v>273</v>
      </c>
      <c r="S99" s="8">
        <v>284</v>
      </c>
      <c r="T99" s="8">
        <v>191</v>
      </c>
      <c r="U99" s="8">
        <v>217</v>
      </c>
      <c r="V99" s="8">
        <v>253</v>
      </c>
      <c r="W99" s="8">
        <v>205</v>
      </c>
      <c r="X99" s="8">
        <v>191</v>
      </c>
      <c r="Y99" s="8">
        <v>103</v>
      </c>
      <c r="Z99" s="8">
        <v>210</v>
      </c>
      <c r="AA99" s="8">
        <v>114</v>
      </c>
      <c r="AB99" s="8">
        <v>204</v>
      </c>
      <c r="AC99" s="8">
        <v>216</v>
      </c>
      <c r="AD99" s="8">
        <v>212</v>
      </c>
      <c r="AE99" s="8">
        <v>205</v>
      </c>
      <c r="AF99" s="8">
        <v>171</v>
      </c>
      <c r="AG99" s="8">
        <v>209</v>
      </c>
      <c r="AH99" s="8">
        <v>201</v>
      </c>
      <c r="AI99" s="8">
        <v>232</v>
      </c>
      <c r="AJ99" s="8">
        <v>348</v>
      </c>
      <c r="AK99" s="8">
        <v>215</v>
      </c>
      <c r="AL99" s="8">
        <v>109</v>
      </c>
      <c r="AM99" s="8">
        <v>267</v>
      </c>
      <c r="AN99" s="8">
        <v>200</v>
      </c>
      <c r="AO99" s="8">
        <v>239</v>
      </c>
      <c r="AP99" s="8">
        <v>278</v>
      </c>
      <c r="AQ99" s="8">
        <v>239</v>
      </c>
      <c r="AR99" s="8">
        <v>179</v>
      </c>
      <c r="AS99" s="8">
        <v>252</v>
      </c>
      <c r="AT99" s="8">
        <v>196</v>
      </c>
      <c r="AU99" s="8">
        <v>214</v>
      </c>
      <c r="AV99" s="8">
        <v>185</v>
      </c>
      <c r="AW99" s="8">
        <v>208</v>
      </c>
      <c r="AX99" s="8">
        <v>70</v>
      </c>
      <c r="AY99" s="8">
        <v>232</v>
      </c>
      <c r="AZ99" s="8">
        <v>187</v>
      </c>
      <c r="BA99" s="8">
        <v>224</v>
      </c>
      <c r="BB99" s="8">
        <v>191</v>
      </c>
      <c r="BC99" s="8">
        <v>196</v>
      </c>
      <c r="BD99" s="8">
        <v>179</v>
      </c>
      <c r="BE99" s="8">
        <v>241</v>
      </c>
      <c r="BF99" s="8">
        <v>234</v>
      </c>
      <c r="BG99" s="8">
        <v>201</v>
      </c>
      <c r="BH99" s="8">
        <v>175</v>
      </c>
      <c r="BI99" s="8">
        <v>206</v>
      </c>
      <c r="BJ99" s="8">
        <v>169</v>
      </c>
      <c r="BK99" s="8">
        <v>177</v>
      </c>
      <c r="BL99" s="8">
        <v>228</v>
      </c>
      <c r="BM99" s="8">
        <v>237</v>
      </c>
      <c r="BN99" s="8">
        <v>163</v>
      </c>
      <c r="BO99" s="8">
        <v>250</v>
      </c>
      <c r="BP99" s="8">
        <v>252</v>
      </c>
      <c r="BQ99" s="8">
        <v>266</v>
      </c>
      <c r="BR99" s="8">
        <v>236</v>
      </c>
      <c r="BS99" s="8">
        <v>211</v>
      </c>
      <c r="BT99" s="8">
        <v>193</v>
      </c>
      <c r="BU99" s="8">
        <v>167</v>
      </c>
      <c r="BV99" s="8">
        <v>168</v>
      </c>
      <c r="BW99" s="8">
        <v>231</v>
      </c>
      <c r="BX99" s="8">
        <v>169</v>
      </c>
      <c r="BY99" s="8">
        <v>158</v>
      </c>
      <c r="BZ99" s="8">
        <v>184</v>
      </c>
      <c r="CA99" s="8">
        <v>197</v>
      </c>
      <c r="CB99" s="8">
        <v>158</v>
      </c>
      <c r="CC99" s="8">
        <v>183</v>
      </c>
      <c r="CD99" s="8">
        <v>229</v>
      </c>
      <c r="CE99" s="8">
        <v>99</v>
      </c>
      <c r="CF99" s="8">
        <v>152</v>
      </c>
      <c r="CG99" s="8">
        <v>204</v>
      </c>
      <c r="CH99" s="8">
        <v>200</v>
      </c>
      <c r="CJ99" s="9"/>
      <c r="CK99" s="9"/>
      <c r="CL99" s="9"/>
      <c r="CM99" s="9"/>
      <c r="CN99" s="9"/>
      <c r="CO99" s="9"/>
      <c r="CP99" s="9"/>
      <c r="CQ99" s="9"/>
      <c r="CR99" s="9"/>
      <c r="CS99" s="9"/>
      <c r="CT99" s="9"/>
      <c r="CU99" s="9"/>
      <c r="CV99" s="9"/>
      <c r="CW99" s="9"/>
      <c r="CX99" s="9"/>
      <c r="CY99" s="9"/>
      <c r="CZ99" s="9"/>
      <c r="DA99" s="9"/>
      <c r="DB99" s="9"/>
      <c r="DC99" s="9"/>
      <c r="DD99" s="9"/>
      <c r="DE99" s="9"/>
      <c r="DF99" s="9"/>
      <c r="DG99" s="9"/>
      <c r="DH99" s="9"/>
      <c r="DI99" s="9"/>
      <c r="DJ99" s="9"/>
      <c r="DK99" s="9"/>
      <c r="DL99" s="9"/>
      <c r="DM99" s="9"/>
      <c r="DN99" s="9"/>
      <c r="DO99" s="9"/>
      <c r="DP99" s="9"/>
      <c r="DQ99" s="9"/>
      <c r="DR99" s="9"/>
      <c r="DS99" s="9"/>
      <c r="DT99" s="9"/>
      <c r="DU99" s="9"/>
      <c r="DV99" s="9"/>
      <c r="DW99" s="9"/>
      <c r="DX99" s="9"/>
      <c r="DY99" s="9"/>
      <c r="DZ99" s="9"/>
      <c r="EA99" s="9"/>
      <c r="EB99" s="9"/>
      <c r="EC99" s="9"/>
      <c r="ED99" s="9"/>
      <c r="EE99" s="9"/>
      <c r="EF99" s="9"/>
      <c r="EG99" s="9"/>
      <c r="EH99" s="9"/>
      <c r="EI99" s="9"/>
      <c r="EJ99" s="9"/>
      <c r="EK99" s="9"/>
      <c r="EL99" s="9"/>
      <c r="EM99" s="9"/>
      <c r="EN99" s="9"/>
      <c r="EO99" s="9"/>
      <c r="EP99" s="9"/>
      <c r="EQ99" s="9"/>
      <c r="ER99" s="9"/>
      <c r="ES99" s="9"/>
      <c r="ET99" s="9"/>
      <c r="EU99" s="9"/>
      <c r="EV99" s="9"/>
      <c r="EW99" s="9"/>
      <c r="EX99" s="9"/>
      <c r="EY99" s="9"/>
      <c r="EZ99" s="9"/>
      <c r="FA99" s="9"/>
      <c r="FB99" s="9"/>
      <c r="FC99" s="9"/>
      <c r="FD99" s="9"/>
      <c r="FE99" s="9"/>
      <c r="FF99" s="9"/>
      <c r="FG99" s="9"/>
      <c r="FH99" s="9"/>
      <c r="FI99" s="9"/>
    </row>
    <row r="100" spans="1:165" x14ac:dyDescent="0.2">
      <c r="A100" s="1" t="s">
        <v>591</v>
      </c>
      <c r="B100" s="1" t="s">
        <v>592</v>
      </c>
      <c r="C100" s="1" t="s">
        <v>265</v>
      </c>
      <c r="D100" s="1" t="str">
        <f>HYPERLINK("http://eros.fiehnlab.ucdavis.edu:8080/binbase-compound/bin/show/322365?db=rtx5","322365")</f>
        <v>322365</v>
      </c>
      <c r="E100" s="1" t="s">
        <v>593</v>
      </c>
      <c r="F100" s="1" t="str">
        <f>HYPERLINK("http://www.genome.ad.jp/dbget-bin/www_bget?compound+C00187","C00187")</f>
        <v>C00187</v>
      </c>
      <c r="G100" s="1" t="str">
        <f>HYPERLINK("http://pubchem.ncbi.nlm.nih.gov/summary/summary.cgi?cid=5997","5997")</f>
        <v>5997</v>
      </c>
      <c r="H100" s="1"/>
      <c r="I100" s="8">
        <v>843</v>
      </c>
      <c r="J100" s="8">
        <v>778</v>
      </c>
      <c r="K100" s="8">
        <v>781</v>
      </c>
      <c r="L100" s="8">
        <v>868</v>
      </c>
      <c r="M100" s="8">
        <v>884</v>
      </c>
      <c r="N100" s="8">
        <v>691</v>
      </c>
      <c r="O100" s="8">
        <v>1236</v>
      </c>
      <c r="P100" s="8">
        <v>1022</v>
      </c>
      <c r="Q100" s="8">
        <v>1324</v>
      </c>
      <c r="R100" s="8">
        <v>590</v>
      </c>
      <c r="S100" s="8">
        <v>1124</v>
      </c>
      <c r="T100" s="8">
        <v>89114</v>
      </c>
      <c r="U100" s="8">
        <v>129087</v>
      </c>
      <c r="V100" s="8">
        <v>299</v>
      </c>
      <c r="W100" s="8">
        <v>74854</v>
      </c>
      <c r="X100" s="8">
        <v>1350</v>
      </c>
      <c r="Y100" s="8">
        <v>475</v>
      </c>
      <c r="Z100" s="8">
        <v>866</v>
      </c>
      <c r="AA100" s="8">
        <v>378</v>
      </c>
      <c r="AB100" s="8">
        <v>1569</v>
      </c>
      <c r="AC100" s="8">
        <v>1740</v>
      </c>
      <c r="AD100" s="8">
        <v>808</v>
      </c>
      <c r="AE100" s="8">
        <v>1473</v>
      </c>
      <c r="AF100" s="8">
        <v>673</v>
      </c>
      <c r="AG100" s="8">
        <v>133477</v>
      </c>
      <c r="AH100" s="8">
        <v>533</v>
      </c>
      <c r="AI100" s="8">
        <v>1112</v>
      </c>
      <c r="AJ100" s="8">
        <v>1078</v>
      </c>
      <c r="AK100" s="8">
        <v>60349</v>
      </c>
      <c r="AL100" s="8">
        <v>1034</v>
      </c>
      <c r="AM100" s="8">
        <v>1210</v>
      </c>
      <c r="AN100" s="8">
        <v>1568</v>
      </c>
      <c r="AO100" s="8">
        <v>948</v>
      </c>
      <c r="AP100" s="8">
        <v>674</v>
      </c>
      <c r="AQ100" s="8">
        <v>1375</v>
      </c>
      <c r="AR100" s="8">
        <v>518</v>
      </c>
      <c r="AS100" s="8">
        <v>648</v>
      </c>
      <c r="AT100" s="8">
        <v>544</v>
      </c>
      <c r="AU100" s="8">
        <v>853</v>
      </c>
      <c r="AV100" s="8">
        <v>931</v>
      </c>
      <c r="AW100" s="8">
        <v>1088</v>
      </c>
      <c r="AX100" s="8">
        <v>1140</v>
      </c>
      <c r="AY100" s="8">
        <v>1049</v>
      </c>
      <c r="AZ100" s="8">
        <v>5688</v>
      </c>
      <c r="BA100" s="8">
        <v>70792</v>
      </c>
      <c r="BB100" s="8">
        <v>633</v>
      </c>
      <c r="BC100" s="8">
        <v>1688</v>
      </c>
      <c r="BD100" s="8">
        <v>1289</v>
      </c>
      <c r="BE100" s="8">
        <v>818</v>
      </c>
      <c r="BF100" s="8">
        <v>1188</v>
      </c>
      <c r="BG100" s="8">
        <v>1135</v>
      </c>
      <c r="BH100" s="8">
        <v>81411</v>
      </c>
      <c r="BI100" s="8">
        <v>782</v>
      </c>
      <c r="BJ100" s="8">
        <v>1178</v>
      </c>
      <c r="BK100" s="8">
        <v>1619</v>
      </c>
      <c r="BL100" s="8">
        <v>1010</v>
      </c>
      <c r="BM100" s="8">
        <v>769</v>
      </c>
      <c r="BN100" s="8">
        <v>811</v>
      </c>
      <c r="BO100" s="8">
        <v>1189</v>
      </c>
      <c r="BP100" s="8">
        <v>658</v>
      </c>
      <c r="BQ100" s="8">
        <v>788</v>
      </c>
      <c r="BR100" s="8">
        <v>363</v>
      </c>
      <c r="BS100" s="8">
        <v>1618</v>
      </c>
      <c r="BT100" s="8">
        <v>1014</v>
      </c>
      <c r="BU100" s="8">
        <v>597</v>
      </c>
      <c r="BV100" s="8">
        <v>727</v>
      </c>
      <c r="BW100" s="8">
        <v>760</v>
      </c>
      <c r="BX100" s="8">
        <v>1034</v>
      </c>
      <c r="BY100" s="8">
        <v>822</v>
      </c>
      <c r="BZ100" s="8">
        <v>942</v>
      </c>
      <c r="CA100" s="8">
        <v>1416</v>
      </c>
      <c r="CB100" s="8">
        <v>956</v>
      </c>
      <c r="CC100" s="8">
        <v>1014</v>
      </c>
      <c r="CD100" s="8">
        <v>516</v>
      </c>
      <c r="CE100" s="8">
        <v>1057</v>
      </c>
      <c r="CF100" s="8">
        <v>766</v>
      </c>
      <c r="CG100" s="8">
        <v>860</v>
      </c>
      <c r="CH100" s="8">
        <v>1033</v>
      </c>
      <c r="CJ100" s="9"/>
      <c r="CK100" s="9"/>
      <c r="CL100" s="9"/>
      <c r="CM100" s="9"/>
      <c r="CN100" s="9"/>
      <c r="CO100" s="9"/>
      <c r="CP100" s="9"/>
      <c r="CQ100" s="9"/>
      <c r="CR100" s="9"/>
      <c r="CS100" s="9"/>
      <c r="CT100" s="9"/>
      <c r="CU100" s="9"/>
      <c r="CV100" s="9"/>
      <c r="CW100" s="9"/>
      <c r="CX100" s="9"/>
      <c r="CY100" s="9"/>
      <c r="CZ100" s="9"/>
      <c r="DA100" s="9"/>
      <c r="DB100" s="9"/>
      <c r="DC100" s="9"/>
      <c r="DD100" s="9"/>
      <c r="DE100" s="9"/>
      <c r="DF100" s="9"/>
      <c r="DG100" s="9"/>
      <c r="DH100" s="9"/>
      <c r="DI100" s="9"/>
      <c r="DJ100" s="9"/>
      <c r="DK100" s="9"/>
      <c r="DL100" s="9"/>
      <c r="DM100" s="9"/>
      <c r="DN100" s="9"/>
      <c r="DO100" s="9"/>
      <c r="DP100" s="9"/>
      <c r="DQ100" s="9"/>
      <c r="DR100" s="9"/>
      <c r="DS100" s="9"/>
      <c r="DT100" s="9"/>
      <c r="DU100" s="9"/>
      <c r="DV100" s="9"/>
      <c r="DW100" s="9"/>
      <c r="DX100" s="9"/>
      <c r="DY100" s="9"/>
      <c r="DZ100" s="9"/>
      <c r="EA100" s="9"/>
      <c r="EB100" s="9"/>
      <c r="EC100" s="9"/>
      <c r="ED100" s="9"/>
      <c r="EE100" s="9"/>
      <c r="EF100" s="9"/>
      <c r="EG100" s="9"/>
      <c r="EH100" s="9"/>
      <c r="EI100" s="9"/>
      <c r="EJ100" s="9"/>
      <c r="EK100" s="9"/>
      <c r="EL100" s="9"/>
      <c r="EM100" s="9"/>
      <c r="EN100" s="9"/>
      <c r="EO100" s="9"/>
      <c r="EP100" s="9"/>
      <c r="EQ100" s="9"/>
      <c r="ER100" s="9"/>
      <c r="ES100" s="9"/>
      <c r="ET100" s="9"/>
      <c r="EU100" s="9"/>
      <c r="EV100" s="9"/>
      <c r="EW100" s="9"/>
      <c r="EX100" s="9"/>
      <c r="EY100" s="9"/>
      <c r="EZ100" s="9"/>
      <c r="FA100" s="9"/>
      <c r="FB100" s="9"/>
      <c r="FC100" s="9"/>
      <c r="FD100" s="9"/>
      <c r="FE100" s="9"/>
      <c r="FF100" s="9"/>
      <c r="FG100" s="9"/>
      <c r="FH100" s="9"/>
      <c r="FI100" s="9"/>
    </row>
    <row r="101" spans="1:165" x14ac:dyDescent="0.2">
      <c r="A101" s="1" t="s">
        <v>594</v>
      </c>
      <c r="B101" s="1" t="s">
        <v>595</v>
      </c>
      <c r="C101" s="1" t="s">
        <v>304</v>
      </c>
      <c r="D101" s="1" t="str">
        <f>HYPERLINK("http://eros.fiehnlab.ucdavis.edu:8080/binbase-compound/bin/show/213517?db=rtx5","213517")</f>
        <v>213517</v>
      </c>
      <c r="E101" s="1" t="s">
        <v>596</v>
      </c>
      <c r="F101" s="1" t="str">
        <f>HYPERLINK("http://www.genome.ad.jp/dbget-bin/www_bget?compound+C01571","C01571")</f>
        <v>C01571</v>
      </c>
      <c r="G101" s="1" t="str">
        <f>HYPERLINK("http://pubchem.ncbi.nlm.nih.gov/summary/summary.cgi?cid=2969","2969")</f>
        <v>2969</v>
      </c>
      <c r="H101" s="1"/>
      <c r="I101" s="8">
        <v>2768</v>
      </c>
      <c r="J101" s="8">
        <v>1663</v>
      </c>
      <c r="K101" s="8">
        <v>1656</v>
      </c>
      <c r="L101" s="8">
        <v>2092</v>
      </c>
      <c r="M101" s="8">
        <v>1666</v>
      </c>
      <c r="N101" s="8">
        <v>2285</v>
      </c>
      <c r="O101" s="8">
        <v>2180</v>
      </c>
      <c r="P101" s="8">
        <v>3470</v>
      </c>
      <c r="Q101" s="8">
        <v>2401</v>
      </c>
      <c r="R101" s="8">
        <v>2351</v>
      </c>
      <c r="S101" s="8">
        <v>2274</v>
      </c>
      <c r="T101" s="8">
        <v>1533</v>
      </c>
      <c r="U101" s="8">
        <v>1933</v>
      </c>
      <c r="V101" s="8">
        <v>1862</v>
      </c>
      <c r="W101" s="8">
        <v>1719</v>
      </c>
      <c r="X101" s="8">
        <v>3046</v>
      </c>
      <c r="Y101" s="8">
        <v>2132</v>
      </c>
      <c r="Z101" s="8">
        <v>2365</v>
      </c>
      <c r="AA101" s="8">
        <v>1463</v>
      </c>
      <c r="AB101" s="8">
        <v>2006</v>
      </c>
      <c r="AC101" s="8">
        <v>2106</v>
      </c>
      <c r="AD101" s="8">
        <v>2862</v>
      </c>
      <c r="AE101" s="8">
        <v>2402</v>
      </c>
      <c r="AF101" s="8">
        <v>1553</v>
      </c>
      <c r="AG101" s="8">
        <v>2056</v>
      </c>
      <c r="AH101" s="8">
        <v>1767</v>
      </c>
      <c r="AI101" s="8">
        <v>2110</v>
      </c>
      <c r="AJ101" s="8">
        <v>2398</v>
      </c>
      <c r="AK101" s="8">
        <v>1866</v>
      </c>
      <c r="AL101" s="8">
        <v>2463</v>
      </c>
      <c r="AM101" s="8">
        <v>2768</v>
      </c>
      <c r="AN101" s="8">
        <v>2151</v>
      </c>
      <c r="AO101" s="8">
        <v>2723</v>
      </c>
      <c r="AP101" s="8">
        <v>3247</v>
      </c>
      <c r="AQ101" s="8">
        <v>2622</v>
      </c>
      <c r="AR101" s="8">
        <v>1650</v>
      </c>
      <c r="AS101" s="8">
        <v>2310</v>
      </c>
      <c r="AT101" s="8">
        <v>2953</v>
      </c>
      <c r="AU101" s="8">
        <v>2013</v>
      </c>
      <c r="AV101" s="8">
        <v>1723</v>
      </c>
      <c r="AW101" s="8">
        <v>3352</v>
      </c>
      <c r="AX101" s="8">
        <v>1768</v>
      </c>
      <c r="AY101" s="8">
        <v>2478</v>
      </c>
      <c r="AZ101" s="8">
        <v>2582</v>
      </c>
      <c r="BA101" s="8">
        <v>2233</v>
      </c>
      <c r="BB101" s="8">
        <v>3151</v>
      </c>
      <c r="BC101" s="8">
        <v>3382</v>
      </c>
      <c r="BD101" s="8">
        <v>2245</v>
      </c>
      <c r="BE101" s="8">
        <v>2055</v>
      </c>
      <c r="BF101" s="8">
        <v>2084</v>
      </c>
      <c r="BG101" s="8">
        <v>2193</v>
      </c>
      <c r="BH101" s="8">
        <v>1812</v>
      </c>
      <c r="BI101" s="8">
        <v>2108</v>
      </c>
      <c r="BJ101" s="8">
        <v>1759</v>
      </c>
      <c r="BK101" s="8">
        <v>2932</v>
      </c>
      <c r="BL101" s="8">
        <v>2488</v>
      </c>
      <c r="BM101" s="8">
        <v>3073</v>
      </c>
      <c r="BN101" s="8">
        <v>1718</v>
      </c>
      <c r="BO101" s="8">
        <v>2185</v>
      </c>
      <c r="BP101" s="8">
        <v>2382</v>
      </c>
      <c r="BQ101" s="8">
        <v>1837</v>
      </c>
      <c r="BR101" s="8">
        <v>1951</v>
      </c>
      <c r="BS101" s="8">
        <v>1694</v>
      </c>
      <c r="BT101" s="8">
        <v>1801</v>
      </c>
      <c r="BU101" s="8">
        <v>1949</v>
      </c>
      <c r="BV101" s="8">
        <v>2828</v>
      </c>
      <c r="BW101" s="8">
        <v>2323</v>
      </c>
      <c r="BX101" s="8">
        <v>2747</v>
      </c>
      <c r="BY101" s="8">
        <v>2005</v>
      </c>
      <c r="BZ101" s="8">
        <v>2556</v>
      </c>
      <c r="CA101" s="8">
        <v>2812</v>
      </c>
      <c r="CB101" s="8">
        <v>2145</v>
      </c>
      <c r="CC101" s="8">
        <v>1911</v>
      </c>
      <c r="CD101" s="8">
        <v>1759</v>
      </c>
      <c r="CE101" s="8">
        <v>2558</v>
      </c>
      <c r="CF101" s="8">
        <v>2088</v>
      </c>
      <c r="CG101" s="8">
        <v>1517</v>
      </c>
      <c r="CH101" s="8">
        <v>2361</v>
      </c>
      <c r="CJ101" s="9"/>
      <c r="CK101" s="9"/>
      <c r="CL101" s="9"/>
      <c r="CM101" s="9"/>
      <c r="CN101" s="9"/>
      <c r="CO101" s="9"/>
      <c r="CP101" s="9"/>
      <c r="CQ101" s="9"/>
      <c r="CR101" s="9"/>
      <c r="CS101" s="9"/>
      <c r="CT101" s="9"/>
      <c r="CU101" s="9"/>
      <c r="CV101" s="9"/>
      <c r="CW101" s="9"/>
      <c r="CX101" s="9"/>
      <c r="CY101" s="9"/>
      <c r="CZ101" s="9"/>
      <c r="DA101" s="9"/>
      <c r="DB101" s="9"/>
      <c r="DC101" s="9"/>
      <c r="DD101" s="9"/>
      <c r="DE101" s="9"/>
      <c r="DF101" s="9"/>
      <c r="DG101" s="9"/>
      <c r="DH101" s="9"/>
      <c r="DI101" s="9"/>
      <c r="DJ101" s="9"/>
      <c r="DK101" s="9"/>
      <c r="DL101" s="9"/>
      <c r="DM101" s="9"/>
      <c r="DN101" s="9"/>
      <c r="DO101" s="9"/>
      <c r="DP101" s="9"/>
      <c r="DQ101" s="9"/>
      <c r="DR101" s="9"/>
      <c r="DS101" s="9"/>
      <c r="DT101" s="9"/>
      <c r="DU101" s="9"/>
      <c r="DV101" s="9"/>
      <c r="DW101" s="9"/>
      <c r="DX101" s="9"/>
      <c r="DY101" s="9"/>
      <c r="DZ101" s="9"/>
      <c r="EA101" s="9"/>
      <c r="EB101" s="9"/>
      <c r="EC101" s="9"/>
      <c r="ED101" s="9"/>
      <c r="EE101" s="9"/>
      <c r="EF101" s="9"/>
      <c r="EG101" s="9"/>
      <c r="EH101" s="9"/>
      <c r="EI101" s="9"/>
      <c r="EJ101" s="9"/>
      <c r="EK101" s="9"/>
      <c r="EL101" s="9"/>
      <c r="EM101" s="9"/>
      <c r="EN101" s="9"/>
      <c r="EO101" s="9"/>
      <c r="EP101" s="9"/>
      <c r="EQ101" s="9"/>
      <c r="ER101" s="9"/>
      <c r="ES101" s="9"/>
      <c r="ET101" s="9"/>
      <c r="EU101" s="9"/>
      <c r="EV101" s="9"/>
      <c r="EW101" s="9"/>
      <c r="EX101" s="9"/>
      <c r="EY101" s="9"/>
      <c r="EZ101" s="9"/>
      <c r="FA101" s="9"/>
      <c r="FB101" s="9"/>
      <c r="FC101" s="9"/>
      <c r="FD101" s="9"/>
      <c r="FE101" s="9"/>
      <c r="FF101" s="9"/>
      <c r="FG101" s="9"/>
      <c r="FH101" s="9"/>
      <c r="FI101" s="9"/>
    </row>
    <row r="102" spans="1:165" x14ac:dyDescent="0.2">
      <c r="A102" s="1" t="s">
        <v>597</v>
      </c>
      <c r="B102" s="1" t="s">
        <v>598</v>
      </c>
      <c r="C102" s="1" t="s">
        <v>294</v>
      </c>
      <c r="D102" s="1" t="str">
        <f>HYPERLINK("http://eros.fiehnlab.ucdavis.edu:8080/binbase-compound/bin/show/299715?db=rtx5","299715")</f>
        <v>299715</v>
      </c>
      <c r="E102" s="1" t="s">
        <v>599</v>
      </c>
      <c r="F102" s="1" t="s">
        <v>184</v>
      </c>
      <c r="G102" s="1" t="str">
        <f>HYPERLINK("http://pubchem.ncbi.nlm.nih.gov/summary/summary.cgi?cid=8007","8007")</f>
        <v>8007</v>
      </c>
      <c r="H102" s="1"/>
      <c r="I102" s="8">
        <v>480</v>
      </c>
      <c r="J102" s="8">
        <v>549</v>
      </c>
      <c r="K102" s="8">
        <v>61</v>
      </c>
      <c r="L102" s="8">
        <v>487</v>
      </c>
      <c r="M102" s="8">
        <v>698</v>
      </c>
      <c r="N102" s="8">
        <v>652</v>
      </c>
      <c r="O102" s="8">
        <v>456</v>
      </c>
      <c r="P102" s="8">
        <v>572</v>
      </c>
      <c r="Q102" s="8">
        <v>666</v>
      </c>
      <c r="R102" s="8">
        <v>713</v>
      </c>
      <c r="S102" s="8">
        <v>809</v>
      </c>
      <c r="T102" s="8">
        <v>480</v>
      </c>
      <c r="U102" s="8">
        <v>207</v>
      </c>
      <c r="V102" s="8">
        <v>465</v>
      </c>
      <c r="W102" s="8">
        <v>582</v>
      </c>
      <c r="X102" s="8">
        <v>736</v>
      </c>
      <c r="Y102" s="8">
        <v>476</v>
      </c>
      <c r="Z102" s="8">
        <v>556</v>
      </c>
      <c r="AA102" s="8">
        <v>319</v>
      </c>
      <c r="AB102" s="8">
        <v>549</v>
      </c>
      <c r="AC102" s="8">
        <v>135</v>
      </c>
      <c r="AD102" s="8">
        <v>664</v>
      </c>
      <c r="AE102" s="8">
        <v>582</v>
      </c>
      <c r="AF102" s="8">
        <v>615</v>
      </c>
      <c r="AG102" s="8">
        <v>420</v>
      </c>
      <c r="AH102" s="8">
        <v>556</v>
      </c>
      <c r="AI102" s="8">
        <v>581</v>
      </c>
      <c r="AJ102" s="8">
        <v>575</v>
      </c>
      <c r="AK102" s="8">
        <v>128</v>
      </c>
      <c r="AL102" s="8">
        <v>737</v>
      </c>
      <c r="AM102" s="8">
        <v>701</v>
      </c>
      <c r="AN102" s="8">
        <v>674</v>
      </c>
      <c r="AO102" s="8">
        <v>652</v>
      </c>
      <c r="AP102" s="8">
        <v>691</v>
      </c>
      <c r="AQ102" s="8">
        <v>617</v>
      </c>
      <c r="AR102" s="8">
        <v>603</v>
      </c>
      <c r="AS102" s="8">
        <v>507</v>
      </c>
      <c r="AT102" s="8">
        <v>408</v>
      </c>
      <c r="AU102" s="8">
        <v>548</v>
      </c>
      <c r="AV102" s="8">
        <v>514</v>
      </c>
      <c r="AW102" s="8">
        <v>647</v>
      </c>
      <c r="AX102" s="8">
        <v>536</v>
      </c>
      <c r="AY102" s="8">
        <v>761</v>
      </c>
      <c r="AZ102" s="8">
        <v>548</v>
      </c>
      <c r="BA102" s="8">
        <v>835</v>
      </c>
      <c r="BB102" s="8">
        <v>940</v>
      </c>
      <c r="BC102" s="8">
        <v>768</v>
      </c>
      <c r="BD102" s="8">
        <v>821</v>
      </c>
      <c r="BE102" s="8">
        <v>578</v>
      </c>
      <c r="BF102" s="8">
        <v>504</v>
      </c>
      <c r="BG102" s="8">
        <v>577</v>
      </c>
      <c r="BH102" s="8">
        <v>534</v>
      </c>
      <c r="BI102" s="8">
        <v>679</v>
      </c>
      <c r="BJ102" s="8">
        <v>647</v>
      </c>
      <c r="BK102" s="8">
        <v>626</v>
      </c>
      <c r="BL102" s="8">
        <v>547</v>
      </c>
      <c r="BM102" s="8">
        <v>602</v>
      </c>
      <c r="BN102" s="8">
        <v>484</v>
      </c>
      <c r="BO102" s="8">
        <v>547</v>
      </c>
      <c r="BP102" s="8">
        <v>665</v>
      </c>
      <c r="BQ102" s="8">
        <v>632</v>
      </c>
      <c r="BR102" s="8">
        <v>466</v>
      </c>
      <c r="BS102" s="8">
        <v>617</v>
      </c>
      <c r="BT102" s="8">
        <v>545</v>
      </c>
      <c r="BU102" s="8">
        <v>533</v>
      </c>
      <c r="BV102" s="8">
        <v>525</v>
      </c>
      <c r="BW102" s="8">
        <v>641</v>
      </c>
      <c r="BX102" s="8">
        <v>646</v>
      </c>
      <c r="BY102" s="8">
        <v>612</v>
      </c>
      <c r="BZ102" s="8">
        <v>516</v>
      </c>
      <c r="CA102" s="8">
        <v>696</v>
      </c>
      <c r="CB102" s="8">
        <v>801</v>
      </c>
      <c r="CC102" s="8">
        <v>519</v>
      </c>
      <c r="CD102" s="8">
        <v>501</v>
      </c>
      <c r="CE102" s="8">
        <v>538</v>
      </c>
      <c r="CF102" s="8">
        <v>514</v>
      </c>
      <c r="CG102" s="8">
        <v>569</v>
      </c>
      <c r="CH102" s="8">
        <v>686</v>
      </c>
      <c r="CJ102" s="9"/>
      <c r="CK102" s="9"/>
      <c r="CL102" s="9"/>
      <c r="CM102" s="9"/>
      <c r="CN102" s="9"/>
      <c r="CO102" s="9"/>
      <c r="CP102" s="9"/>
      <c r="CQ102" s="9"/>
      <c r="CR102" s="9"/>
      <c r="CS102" s="9"/>
      <c r="CT102" s="9"/>
      <c r="CU102" s="9"/>
      <c r="CV102" s="9"/>
      <c r="CW102" s="9"/>
      <c r="CX102" s="9"/>
      <c r="CY102" s="9"/>
      <c r="CZ102" s="9"/>
      <c r="DA102" s="9"/>
      <c r="DB102" s="9"/>
      <c r="DC102" s="9"/>
      <c r="DD102" s="9"/>
      <c r="DE102" s="9"/>
      <c r="DF102" s="9"/>
      <c r="DG102" s="9"/>
      <c r="DH102" s="9"/>
      <c r="DI102" s="9"/>
      <c r="DJ102" s="9"/>
      <c r="DK102" s="9"/>
      <c r="DL102" s="9"/>
      <c r="DM102" s="9"/>
      <c r="DN102" s="9"/>
      <c r="DO102" s="9"/>
      <c r="DP102" s="9"/>
      <c r="DQ102" s="9"/>
      <c r="DR102" s="9"/>
      <c r="DS102" s="9"/>
      <c r="DT102" s="9"/>
      <c r="DU102" s="9"/>
      <c r="DV102" s="9"/>
      <c r="DW102" s="9"/>
      <c r="DX102" s="9"/>
      <c r="DY102" s="9"/>
      <c r="DZ102" s="9"/>
      <c r="EA102" s="9"/>
      <c r="EB102" s="9"/>
      <c r="EC102" s="9"/>
      <c r="ED102" s="9"/>
      <c r="EE102" s="9"/>
      <c r="EF102" s="9"/>
      <c r="EG102" s="9"/>
      <c r="EH102" s="9"/>
      <c r="EI102" s="9"/>
      <c r="EJ102" s="9"/>
      <c r="EK102" s="9"/>
      <c r="EL102" s="9"/>
      <c r="EM102" s="9"/>
      <c r="EN102" s="9"/>
      <c r="EO102" s="9"/>
      <c r="EP102" s="9"/>
      <c r="EQ102" s="9"/>
      <c r="ER102" s="9"/>
      <c r="ES102" s="9"/>
      <c r="ET102" s="9"/>
      <c r="EU102" s="9"/>
      <c r="EV102" s="9"/>
      <c r="EW102" s="9"/>
      <c r="EX102" s="9"/>
      <c r="EY102" s="9"/>
      <c r="EZ102" s="9"/>
      <c r="FA102" s="9"/>
      <c r="FB102" s="9"/>
      <c r="FC102" s="9"/>
      <c r="FD102" s="9"/>
      <c r="FE102" s="9"/>
      <c r="FF102" s="9"/>
      <c r="FG102" s="9"/>
      <c r="FH102" s="9"/>
      <c r="FI102" s="9"/>
    </row>
    <row r="103" spans="1:165" x14ac:dyDescent="0.2">
      <c r="A103" s="1" t="s">
        <v>600</v>
      </c>
      <c r="B103" s="1" t="s">
        <v>601</v>
      </c>
      <c r="C103" s="1" t="s">
        <v>265</v>
      </c>
      <c r="D103" s="1" t="str">
        <f>HYPERLINK("http://eros.fiehnlab.ucdavis.edu:8080/binbase-compound/bin/show/217814?db=rtx5","217814")</f>
        <v>217814</v>
      </c>
      <c r="E103" s="1" t="s">
        <v>602</v>
      </c>
      <c r="F103" s="1" t="str">
        <f>HYPERLINK("http://www.genome.ad.jp/dbget-bin/www_bget?compound+C01753","C01753")</f>
        <v>C01753</v>
      </c>
      <c r="G103" s="1" t="str">
        <f>HYPERLINK("http://pubchem.ncbi.nlm.nih.gov/summary/summary.cgi?cid=222284","222284")</f>
        <v>222284</v>
      </c>
      <c r="H103" s="1"/>
      <c r="I103" s="8">
        <v>407</v>
      </c>
      <c r="J103" s="8">
        <v>443</v>
      </c>
      <c r="K103" s="8">
        <v>339</v>
      </c>
      <c r="L103" s="8">
        <v>383</v>
      </c>
      <c r="M103" s="8">
        <v>282</v>
      </c>
      <c r="N103" s="8">
        <v>305</v>
      </c>
      <c r="O103" s="8">
        <v>589</v>
      </c>
      <c r="P103" s="8">
        <v>641</v>
      </c>
      <c r="Q103" s="8">
        <v>246</v>
      </c>
      <c r="R103" s="8">
        <v>510</v>
      </c>
      <c r="S103" s="8">
        <v>399</v>
      </c>
      <c r="T103" s="8">
        <v>347</v>
      </c>
      <c r="U103" s="8">
        <v>714</v>
      </c>
      <c r="V103" s="8">
        <v>547</v>
      </c>
      <c r="W103" s="8">
        <v>312</v>
      </c>
      <c r="X103" s="8">
        <v>371</v>
      </c>
      <c r="Y103" s="8">
        <v>382</v>
      </c>
      <c r="Z103" s="8">
        <v>539</v>
      </c>
      <c r="AA103" s="8">
        <v>236</v>
      </c>
      <c r="AB103" s="8">
        <v>482</v>
      </c>
      <c r="AC103" s="8">
        <v>1250</v>
      </c>
      <c r="AD103" s="8">
        <v>621</v>
      </c>
      <c r="AE103" s="8">
        <v>850</v>
      </c>
      <c r="AF103" s="8">
        <v>203</v>
      </c>
      <c r="AG103" s="8">
        <v>448</v>
      </c>
      <c r="AH103" s="8">
        <v>327</v>
      </c>
      <c r="AI103" s="8">
        <v>422</v>
      </c>
      <c r="AJ103" s="8">
        <v>480</v>
      </c>
      <c r="AK103" s="8">
        <v>240</v>
      </c>
      <c r="AL103" s="8">
        <v>276</v>
      </c>
      <c r="AM103" s="8">
        <v>689</v>
      </c>
      <c r="AN103" s="8">
        <v>552</v>
      </c>
      <c r="AO103" s="8">
        <v>561</v>
      </c>
      <c r="AP103" s="8">
        <v>133</v>
      </c>
      <c r="AQ103" s="8">
        <v>525</v>
      </c>
      <c r="AR103" s="8">
        <v>361</v>
      </c>
      <c r="AS103" s="8">
        <v>436</v>
      </c>
      <c r="AT103" s="8">
        <v>204</v>
      </c>
      <c r="AU103" s="8">
        <v>385</v>
      </c>
      <c r="AV103" s="8">
        <v>471</v>
      </c>
      <c r="AW103" s="8">
        <v>392</v>
      </c>
      <c r="AX103" s="8">
        <v>424</v>
      </c>
      <c r="AY103" s="8">
        <v>826</v>
      </c>
      <c r="AZ103" s="8">
        <v>588</v>
      </c>
      <c r="BA103" s="8">
        <v>394</v>
      </c>
      <c r="BB103" s="8">
        <v>372</v>
      </c>
      <c r="BC103" s="8">
        <v>284</v>
      </c>
      <c r="BD103" s="8">
        <v>762</v>
      </c>
      <c r="BE103" s="8">
        <v>512</v>
      </c>
      <c r="BF103" s="8">
        <v>449</v>
      </c>
      <c r="BG103" s="8">
        <v>372</v>
      </c>
      <c r="BH103" s="8">
        <v>269</v>
      </c>
      <c r="BI103" s="8">
        <v>198</v>
      </c>
      <c r="BJ103" s="8">
        <v>398</v>
      </c>
      <c r="BK103" s="8">
        <v>448</v>
      </c>
      <c r="BL103" s="8">
        <v>614</v>
      </c>
      <c r="BM103" s="8">
        <v>483</v>
      </c>
      <c r="BN103" s="8">
        <v>433</v>
      </c>
      <c r="BO103" s="8">
        <v>513</v>
      </c>
      <c r="BP103" s="8">
        <v>318</v>
      </c>
      <c r="BQ103" s="8">
        <v>530</v>
      </c>
      <c r="BR103" s="8">
        <v>324</v>
      </c>
      <c r="BS103" s="8">
        <v>655</v>
      </c>
      <c r="BT103" s="8">
        <v>357</v>
      </c>
      <c r="BU103" s="8">
        <v>329</v>
      </c>
      <c r="BV103" s="8">
        <v>477</v>
      </c>
      <c r="BW103" s="8">
        <v>596</v>
      </c>
      <c r="BX103" s="8">
        <v>428</v>
      </c>
      <c r="BY103" s="8">
        <v>801</v>
      </c>
      <c r="BZ103" s="8">
        <v>187</v>
      </c>
      <c r="CA103" s="8">
        <v>406</v>
      </c>
      <c r="CB103" s="8">
        <v>380</v>
      </c>
      <c r="CC103" s="8">
        <v>422</v>
      </c>
      <c r="CD103" s="8">
        <v>604</v>
      </c>
      <c r="CE103" s="8">
        <v>477</v>
      </c>
      <c r="CF103" s="8">
        <v>357</v>
      </c>
      <c r="CG103" s="8">
        <v>481</v>
      </c>
      <c r="CH103" s="8">
        <v>426</v>
      </c>
      <c r="CJ103" s="9"/>
      <c r="CK103" s="9"/>
      <c r="CL103" s="9"/>
      <c r="CM103" s="9"/>
      <c r="CN103" s="9"/>
      <c r="CO103" s="9"/>
      <c r="CP103" s="9"/>
      <c r="CQ103" s="9"/>
      <c r="CR103" s="9"/>
      <c r="CS103" s="9"/>
      <c r="CT103" s="9"/>
      <c r="CU103" s="9"/>
      <c r="CV103" s="9"/>
      <c r="CW103" s="9"/>
      <c r="CX103" s="9"/>
      <c r="CY103" s="9"/>
      <c r="CZ103" s="9"/>
      <c r="DA103" s="9"/>
      <c r="DB103" s="9"/>
      <c r="DC103" s="9"/>
      <c r="DD103" s="9"/>
      <c r="DE103" s="9"/>
      <c r="DF103" s="9"/>
      <c r="DG103" s="9"/>
      <c r="DH103" s="9"/>
      <c r="DI103" s="9"/>
      <c r="DJ103" s="9"/>
      <c r="DK103" s="9"/>
      <c r="DL103" s="9"/>
      <c r="DM103" s="9"/>
      <c r="DN103" s="9"/>
      <c r="DO103" s="9"/>
      <c r="DP103" s="9"/>
      <c r="DQ103" s="9"/>
      <c r="DR103" s="9"/>
      <c r="DS103" s="9"/>
      <c r="DT103" s="9"/>
      <c r="DU103" s="9"/>
      <c r="DV103" s="9"/>
      <c r="DW103" s="9"/>
      <c r="DX103" s="9"/>
      <c r="DY103" s="9"/>
      <c r="DZ103" s="9"/>
      <c r="EA103" s="9"/>
      <c r="EB103" s="9"/>
      <c r="EC103" s="9"/>
      <c r="ED103" s="9"/>
      <c r="EE103" s="9"/>
      <c r="EF103" s="9"/>
      <c r="EG103" s="9"/>
      <c r="EH103" s="9"/>
      <c r="EI103" s="9"/>
      <c r="EJ103" s="9"/>
      <c r="EK103" s="9"/>
      <c r="EL103" s="9"/>
      <c r="EM103" s="9"/>
      <c r="EN103" s="9"/>
      <c r="EO103" s="9"/>
      <c r="EP103" s="9"/>
      <c r="EQ103" s="9"/>
      <c r="ER103" s="9"/>
      <c r="ES103" s="9"/>
      <c r="ET103" s="9"/>
      <c r="EU103" s="9"/>
      <c r="EV103" s="9"/>
      <c r="EW103" s="9"/>
      <c r="EX103" s="9"/>
      <c r="EY103" s="9"/>
      <c r="EZ103" s="9"/>
      <c r="FA103" s="9"/>
      <c r="FB103" s="9"/>
      <c r="FC103" s="9"/>
      <c r="FD103" s="9"/>
      <c r="FE103" s="9"/>
      <c r="FF103" s="9"/>
      <c r="FG103" s="9"/>
      <c r="FH103" s="9"/>
      <c r="FI103" s="9"/>
    </row>
    <row r="104" spans="1:165" x14ac:dyDescent="0.2">
      <c r="A104" s="1" t="s">
        <v>603</v>
      </c>
      <c r="B104" s="1" t="s">
        <v>604</v>
      </c>
      <c r="C104" s="1" t="s">
        <v>605</v>
      </c>
      <c r="D104" s="1" t="str">
        <f>HYPERLINK("http://eros.fiehnlab.ucdavis.edu:8080/binbase-compound/bin/show/233412?db=rtx5","233412")</f>
        <v>233412</v>
      </c>
      <c r="E104" s="1" t="s">
        <v>606</v>
      </c>
      <c r="F104" s="1" t="str">
        <f>HYPERLINK("http://www.genome.ad.jp/dbget-bin/www_bget?compound+C00099","C00099")</f>
        <v>C00099</v>
      </c>
      <c r="G104" s="1" t="str">
        <f>HYPERLINK("http://pubchem.ncbi.nlm.nih.gov/summary/summary.cgi?cid=239","239")</f>
        <v>239</v>
      </c>
      <c r="H104" s="1"/>
      <c r="I104" s="8">
        <v>1048</v>
      </c>
      <c r="J104" s="8">
        <v>929</v>
      </c>
      <c r="K104" s="8">
        <v>1096</v>
      </c>
      <c r="L104" s="8">
        <v>882</v>
      </c>
      <c r="M104" s="8">
        <v>1374</v>
      </c>
      <c r="N104" s="8">
        <v>1078</v>
      </c>
      <c r="O104" s="8">
        <v>898</v>
      </c>
      <c r="P104" s="8">
        <v>1076</v>
      </c>
      <c r="Q104" s="8">
        <v>1246</v>
      </c>
      <c r="R104" s="8">
        <v>1153</v>
      </c>
      <c r="S104" s="8">
        <v>1393</v>
      </c>
      <c r="T104" s="8">
        <v>1266</v>
      </c>
      <c r="U104" s="8">
        <v>1166</v>
      </c>
      <c r="V104" s="8">
        <v>1565</v>
      </c>
      <c r="W104" s="8">
        <v>701</v>
      </c>
      <c r="X104" s="8">
        <v>1422</v>
      </c>
      <c r="Y104" s="8">
        <v>1043</v>
      </c>
      <c r="Z104" s="8">
        <v>1345</v>
      </c>
      <c r="AA104" s="8">
        <v>398</v>
      </c>
      <c r="AB104" s="8">
        <v>592</v>
      </c>
      <c r="AC104" s="8">
        <v>359</v>
      </c>
      <c r="AD104" s="8">
        <v>468</v>
      </c>
      <c r="AE104" s="8">
        <v>530</v>
      </c>
      <c r="AF104" s="8">
        <v>506</v>
      </c>
      <c r="AG104" s="8">
        <v>577</v>
      </c>
      <c r="AH104" s="8">
        <v>719</v>
      </c>
      <c r="AI104" s="8">
        <v>649</v>
      </c>
      <c r="AJ104" s="8">
        <v>891</v>
      </c>
      <c r="AK104" s="8">
        <v>585</v>
      </c>
      <c r="AL104" s="8">
        <v>1199</v>
      </c>
      <c r="AM104" s="8">
        <v>1178</v>
      </c>
      <c r="AN104" s="8">
        <v>1088</v>
      </c>
      <c r="AO104" s="8">
        <v>1052</v>
      </c>
      <c r="AP104" s="8">
        <v>937</v>
      </c>
      <c r="AQ104" s="8">
        <v>967</v>
      </c>
      <c r="AR104" s="8">
        <v>868</v>
      </c>
      <c r="AS104" s="8">
        <v>1303</v>
      </c>
      <c r="AT104" s="8">
        <v>1272</v>
      </c>
      <c r="AU104" s="8">
        <v>1169</v>
      </c>
      <c r="AV104" s="8">
        <v>1183</v>
      </c>
      <c r="AW104" s="8">
        <v>1353</v>
      </c>
      <c r="AX104" s="8">
        <v>1149</v>
      </c>
      <c r="AY104" s="8">
        <v>385</v>
      </c>
      <c r="AZ104" s="8">
        <v>494</v>
      </c>
      <c r="BA104" s="8">
        <v>539</v>
      </c>
      <c r="BB104" s="8">
        <v>94</v>
      </c>
      <c r="BC104" s="8">
        <v>81</v>
      </c>
      <c r="BD104" s="8">
        <v>81</v>
      </c>
      <c r="BE104" s="8">
        <v>861</v>
      </c>
      <c r="BF104" s="8">
        <v>863</v>
      </c>
      <c r="BG104" s="8">
        <v>696</v>
      </c>
      <c r="BH104" s="8">
        <v>586</v>
      </c>
      <c r="BI104" s="8">
        <v>1064</v>
      </c>
      <c r="BJ104" s="8">
        <v>645</v>
      </c>
      <c r="BK104" s="8">
        <v>1073</v>
      </c>
      <c r="BL104" s="8">
        <v>1116</v>
      </c>
      <c r="BM104" s="8">
        <v>937</v>
      </c>
      <c r="BN104" s="8">
        <v>729</v>
      </c>
      <c r="BO104" s="8">
        <v>1188</v>
      </c>
      <c r="BP104" s="8">
        <v>1175</v>
      </c>
      <c r="BQ104" s="8">
        <v>1437</v>
      </c>
      <c r="BR104" s="8">
        <v>1112</v>
      </c>
      <c r="BS104" s="8">
        <v>1353</v>
      </c>
      <c r="BT104" s="8">
        <v>1412</v>
      </c>
      <c r="BU104" s="8">
        <v>1108</v>
      </c>
      <c r="BV104" s="8">
        <v>1284</v>
      </c>
      <c r="BW104" s="8">
        <v>654</v>
      </c>
      <c r="BX104" s="8">
        <v>322</v>
      </c>
      <c r="BY104" s="8">
        <v>330</v>
      </c>
      <c r="BZ104" s="8">
        <v>594</v>
      </c>
      <c r="CA104" s="8">
        <v>428</v>
      </c>
      <c r="CB104" s="8">
        <v>378</v>
      </c>
      <c r="CC104" s="8">
        <v>582</v>
      </c>
      <c r="CD104" s="8">
        <v>589</v>
      </c>
      <c r="CE104" s="8">
        <v>805</v>
      </c>
      <c r="CF104" s="8">
        <v>638</v>
      </c>
      <c r="CG104" s="8">
        <v>666</v>
      </c>
      <c r="CH104" s="8">
        <v>737</v>
      </c>
      <c r="CJ104" s="9"/>
      <c r="CK104" s="9"/>
      <c r="CL104" s="9"/>
      <c r="CM104" s="9"/>
      <c r="CN104" s="9"/>
      <c r="CO104" s="9"/>
      <c r="CP104" s="9"/>
      <c r="CQ104" s="9"/>
      <c r="CR104" s="9"/>
      <c r="CS104" s="9"/>
      <c r="CT104" s="9"/>
      <c r="CU104" s="9"/>
      <c r="CV104" s="9"/>
      <c r="CW104" s="9"/>
      <c r="CX104" s="9"/>
      <c r="CY104" s="9"/>
      <c r="CZ104" s="9"/>
      <c r="DA104" s="9"/>
      <c r="DB104" s="9"/>
      <c r="DC104" s="9"/>
      <c r="DD104" s="9"/>
      <c r="DE104" s="9"/>
      <c r="DF104" s="9"/>
      <c r="DG104" s="9"/>
      <c r="DH104" s="9"/>
      <c r="DI104" s="9"/>
      <c r="DJ104" s="9"/>
      <c r="DK104" s="9"/>
      <c r="DL104" s="9"/>
      <c r="DM104" s="9"/>
      <c r="DN104" s="9"/>
      <c r="DO104" s="9"/>
      <c r="DP104" s="9"/>
      <c r="DQ104" s="9"/>
      <c r="DR104" s="9"/>
      <c r="DS104" s="9"/>
      <c r="DT104" s="9"/>
      <c r="DU104" s="9"/>
      <c r="DV104" s="9"/>
      <c r="DW104" s="9"/>
      <c r="DX104" s="9"/>
      <c r="DY104" s="9"/>
      <c r="DZ104" s="9"/>
      <c r="EA104" s="9"/>
      <c r="EB104" s="9"/>
      <c r="EC104" s="9"/>
      <c r="ED104" s="9"/>
      <c r="EE104" s="9"/>
      <c r="EF104" s="9"/>
      <c r="EG104" s="9"/>
      <c r="EH104" s="9"/>
      <c r="EI104" s="9"/>
      <c r="EJ104" s="9"/>
      <c r="EK104" s="9"/>
      <c r="EL104" s="9"/>
      <c r="EM104" s="9"/>
      <c r="EN104" s="9"/>
      <c r="EO104" s="9"/>
      <c r="EP104" s="9"/>
      <c r="EQ104" s="9"/>
      <c r="ER104" s="9"/>
      <c r="ES104" s="9"/>
      <c r="ET104" s="9"/>
      <c r="EU104" s="9"/>
      <c r="EV104" s="9"/>
      <c r="EW104" s="9"/>
      <c r="EX104" s="9"/>
      <c r="EY104" s="9"/>
      <c r="EZ104" s="9"/>
      <c r="FA104" s="9"/>
      <c r="FB104" s="9"/>
      <c r="FC104" s="9"/>
      <c r="FD104" s="9"/>
      <c r="FE104" s="9"/>
      <c r="FF104" s="9"/>
      <c r="FG104" s="9"/>
      <c r="FH104" s="9"/>
      <c r="FI104" s="9"/>
    </row>
    <row r="105" spans="1:165" x14ac:dyDescent="0.2">
      <c r="A105" s="1" t="s">
        <v>607</v>
      </c>
      <c r="B105" s="1" t="s">
        <v>608</v>
      </c>
      <c r="C105" s="1" t="s">
        <v>286</v>
      </c>
      <c r="D105" s="1" t="str">
        <f>HYPERLINK("http://eros.fiehnlab.ucdavis.edu:8080/binbase-compound/bin/show/211970?db=rtx5","211970")</f>
        <v>211970</v>
      </c>
      <c r="E105" s="1" t="s">
        <v>609</v>
      </c>
      <c r="F105" s="1" t="str">
        <f>HYPERLINK("http://www.genome.ad.jp/dbget-bin/www_bget?compound+C00180","C00180")</f>
        <v>C00180</v>
      </c>
      <c r="G105" s="1" t="str">
        <f>HYPERLINK("http://pubchem.ncbi.nlm.nih.gov/summary/summary.cgi?cid=243","243")</f>
        <v>243</v>
      </c>
      <c r="H105" s="1"/>
      <c r="I105" s="8">
        <v>9066</v>
      </c>
      <c r="J105" s="8">
        <v>5052</v>
      </c>
      <c r="K105" s="8">
        <v>2843</v>
      </c>
      <c r="L105" s="8">
        <v>3000</v>
      </c>
      <c r="M105" s="8">
        <v>5807</v>
      </c>
      <c r="N105" s="8">
        <v>5694</v>
      </c>
      <c r="O105" s="8">
        <v>6515</v>
      </c>
      <c r="P105" s="8">
        <v>4494</v>
      </c>
      <c r="Q105" s="8">
        <v>5807</v>
      </c>
      <c r="R105" s="8">
        <v>10357</v>
      </c>
      <c r="S105" s="8">
        <v>7529</v>
      </c>
      <c r="T105" s="8">
        <v>3100</v>
      </c>
      <c r="U105" s="8">
        <v>7602</v>
      </c>
      <c r="V105" s="8">
        <v>8328</v>
      </c>
      <c r="W105" s="8">
        <v>4375</v>
      </c>
      <c r="X105" s="8">
        <v>7839</v>
      </c>
      <c r="Y105" s="8">
        <v>4217</v>
      </c>
      <c r="Z105" s="8">
        <v>5771</v>
      </c>
      <c r="AA105" s="8">
        <v>5432</v>
      </c>
      <c r="AB105" s="8">
        <v>4953</v>
      </c>
      <c r="AC105" s="8">
        <v>6251</v>
      </c>
      <c r="AD105" s="8">
        <v>6833</v>
      </c>
      <c r="AE105" s="8">
        <v>6944</v>
      </c>
      <c r="AF105" s="8">
        <v>4455</v>
      </c>
      <c r="AG105" s="8">
        <v>7718</v>
      </c>
      <c r="AH105" s="8">
        <v>9222</v>
      </c>
      <c r="AI105" s="8">
        <v>3736</v>
      </c>
      <c r="AJ105" s="8">
        <v>2557</v>
      </c>
      <c r="AK105" s="8">
        <v>7797</v>
      </c>
      <c r="AL105" s="8">
        <v>9286</v>
      </c>
      <c r="AM105" s="8">
        <v>10662</v>
      </c>
      <c r="AN105" s="8">
        <v>9793</v>
      </c>
      <c r="AO105" s="8">
        <v>3757</v>
      </c>
      <c r="AP105" s="8">
        <v>6815</v>
      </c>
      <c r="AQ105" s="8">
        <v>4846</v>
      </c>
      <c r="AR105" s="8">
        <v>4883</v>
      </c>
      <c r="AS105" s="8">
        <v>5971</v>
      </c>
      <c r="AT105" s="8">
        <v>8634</v>
      </c>
      <c r="AU105" s="8">
        <v>4803</v>
      </c>
      <c r="AV105" s="8">
        <v>6434</v>
      </c>
      <c r="AW105" s="8">
        <v>7475</v>
      </c>
      <c r="AX105" s="8">
        <v>4787</v>
      </c>
      <c r="AY105" s="8">
        <v>5528</v>
      </c>
      <c r="AZ105" s="8">
        <v>3510</v>
      </c>
      <c r="BA105" s="8">
        <v>4242</v>
      </c>
      <c r="BB105" s="8">
        <v>4296</v>
      </c>
      <c r="BC105" s="8">
        <v>3865</v>
      </c>
      <c r="BD105" s="8">
        <v>6621</v>
      </c>
      <c r="BE105" s="8">
        <v>6694</v>
      </c>
      <c r="BF105" s="8">
        <v>3710</v>
      </c>
      <c r="BG105" s="8">
        <v>7565</v>
      </c>
      <c r="BH105" s="8">
        <v>4811</v>
      </c>
      <c r="BI105" s="8">
        <v>3725</v>
      </c>
      <c r="BJ105" s="8">
        <v>5250</v>
      </c>
      <c r="BK105" s="8">
        <v>9122</v>
      </c>
      <c r="BL105" s="8">
        <v>5311</v>
      </c>
      <c r="BM105" s="8">
        <v>4606</v>
      </c>
      <c r="BN105" s="8">
        <v>4702</v>
      </c>
      <c r="BO105" s="8">
        <v>4637</v>
      </c>
      <c r="BP105" s="8">
        <v>8694</v>
      </c>
      <c r="BQ105" s="8">
        <v>11338</v>
      </c>
      <c r="BR105" s="8">
        <v>4582</v>
      </c>
      <c r="BS105" s="8">
        <v>5120</v>
      </c>
      <c r="BT105" s="8">
        <v>4383</v>
      </c>
      <c r="BU105" s="8">
        <v>6046</v>
      </c>
      <c r="BV105" s="8">
        <v>7097</v>
      </c>
      <c r="BW105" s="8">
        <v>8022</v>
      </c>
      <c r="BX105" s="8">
        <v>4624</v>
      </c>
      <c r="BY105" s="8">
        <v>4785</v>
      </c>
      <c r="BZ105" s="8">
        <v>8480</v>
      </c>
      <c r="CA105" s="8">
        <v>5607</v>
      </c>
      <c r="CB105" s="8">
        <v>4255</v>
      </c>
      <c r="CC105" s="8">
        <v>6554</v>
      </c>
      <c r="CD105" s="8">
        <v>6149</v>
      </c>
      <c r="CE105" s="8">
        <v>5987</v>
      </c>
      <c r="CF105" s="8">
        <v>4180</v>
      </c>
      <c r="CG105" s="8">
        <v>4537</v>
      </c>
      <c r="CH105" s="8">
        <v>4617</v>
      </c>
      <c r="CJ105" s="9"/>
      <c r="CK105" s="9"/>
      <c r="CL105" s="9"/>
      <c r="CM105" s="9"/>
      <c r="CN105" s="9"/>
      <c r="CO105" s="9"/>
      <c r="CP105" s="9"/>
      <c r="CQ105" s="9"/>
      <c r="CR105" s="9"/>
      <c r="CS105" s="9"/>
      <c r="CT105" s="9"/>
      <c r="CU105" s="9"/>
      <c r="CV105" s="9"/>
      <c r="CW105" s="9"/>
      <c r="CX105" s="9"/>
      <c r="CY105" s="9"/>
      <c r="CZ105" s="9"/>
      <c r="DA105" s="9"/>
      <c r="DB105" s="9"/>
      <c r="DC105" s="9"/>
      <c r="DD105" s="9"/>
      <c r="DE105" s="9"/>
      <c r="DF105" s="9"/>
      <c r="DG105" s="9"/>
      <c r="DH105" s="9"/>
      <c r="DI105" s="9"/>
      <c r="DJ105" s="9"/>
      <c r="DK105" s="9"/>
      <c r="DL105" s="9"/>
      <c r="DM105" s="9"/>
      <c r="DN105" s="9"/>
      <c r="DO105" s="9"/>
      <c r="DP105" s="9"/>
      <c r="DQ105" s="9"/>
      <c r="DR105" s="9"/>
      <c r="DS105" s="9"/>
      <c r="DT105" s="9"/>
      <c r="DU105" s="9"/>
      <c r="DV105" s="9"/>
      <c r="DW105" s="9"/>
      <c r="DX105" s="9"/>
      <c r="DY105" s="9"/>
      <c r="DZ105" s="9"/>
      <c r="EA105" s="9"/>
      <c r="EB105" s="9"/>
      <c r="EC105" s="9"/>
      <c r="ED105" s="9"/>
      <c r="EE105" s="9"/>
      <c r="EF105" s="9"/>
      <c r="EG105" s="9"/>
      <c r="EH105" s="9"/>
      <c r="EI105" s="9"/>
      <c r="EJ105" s="9"/>
      <c r="EK105" s="9"/>
      <c r="EL105" s="9"/>
      <c r="EM105" s="9"/>
      <c r="EN105" s="9"/>
      <c r="EO105" s="9"/>
      <c r="EP105" s="9"/>
      <c r="EQ105" s="9"/>
      <c r="ER105" s="9"/>
      <c r="ES105" s="9"/>
      <c r="ET105" s="9"/>
      <c r="EU105" s="9"/>
      <c r="EV105" s="9"/>
      <c r="EW105" s="9"/>
      <c r="EX105" s="9"/>
      <c r="EY105" s="9"/>
      <c r="EZ105" s="9"/>
      <c r="FA105" s="9"/>
      <c r="FB105" s="9"/>
      <c r="FC105" s="9"/>
      <c r="FD105" s="9"/>
      <c r="FE105" s="9"/>
      <c r="FF105" s="9"/>
      <c r="FG105" s="9"/>
      <c r="FH105" s="9"/>
      <c r="FI105" s="9"/>
    </row>
    <row r="106" spans="1:165" x14ac:dyDescent="0.2">
      <c r="A106" s="1" t="s">
        <v>610</v>
      </c>
      <c r="B106" s="1" t="s">
        <v>611</v>
      </c>
      <c r="C106" s="1" t="s">
        <v>304</v>
      </c>
      <c r="D106" s="1" t="str">
        <f>HYPERLINK("http://eros.fiehnlab.ucdavis.edu:8080/binbase-compound/bin/show/203290?db=rtx5","203290")</f>
        <v>203290</v>
      </c>
      <c r="E106" s="1" t="s">
        <v>612</v>
      </c>
      <c r="F106" s="1" t="str">
        <f>HYPERLINK("http://www.genome.ad.jp/dbget-bin/www_bget?compound+C08281","C08281")</f>
        <v>C08281</v>
      </c>
      <c r="G106" s="1" t="str">
        <f>HYPERLINK("http://pubchem.ncbi.nlm.nih.gov/summary/summary.cgi?cid=8215","8215")</f>
        <v>8215</v>
      </c>
      <c r="H106" s="1"/>
      <c r="I106" s="8">
        <v>2172</v>
      </c>
      <c r="J106" s="8">
        <v>2091</v>
      </c>
      <c r="K106" s="8">
        <v>2052</v>
      </c>
      <c r="L106" s="8">
        <v>2470</v>
      </c>
      <c r="M106" s="8">
        <v>2355</v>
      </c>
      <c r="N106" s="8">
        <v>2187</v>
      </c>
      <c r="O106" s="8">
        <v>948</v>
      </c>
      <c r="P106" s="8">
        <v>1018</v>
      </c>
      <c r="Q106" s="8">
        <v>972</v>
      </c>
      <c r="R106" s="8">
        <v>347</v>
      </c>
      <c r="S106" s="8">
        <v>1219</v>
      </c>
      <c r="T106" s="8">
        <v>994</v>
      </c>
      <c r="U106" s="8">
        <v>579</v>
      </c>
      <c r="V106" s="8">
        <v>352</v>
      </c>
      <c r="W106" s="8">
        <v>215</v>
      </c>
      <c r="X106" s="8">
        <v>523</v>
      </c>
      <c r="Y106" s="8">
        <v>860</v>
      </c>
      <c r="Z106" s="8">
        <v>617</v>
      </c>
      <c r="AA106" s="8">
        <v>601</v>
      </c>
      <c r="AB106" s="8">
        <v>558</v>
      </c>
      <c r="AC106" s="8">
        <v>766</v>
      </c>
      <c r="AD106" s="8">
        <v>483</v>
      </c>
      <c r="AE106" s="8">
        <v>536</v>
      </c>
      <c r="AF106" s="8">
        <v>161</v>
      </c>
      <c r="AG106" s="8">
        <v>946</v>
      </c>
      <c r="AH106" s="8">
        <v>308</v>
      </c>
      <c r="AI106" s="8">
        <v>782</v>
      </c>
      <c r="AJ106" s="8">
        <v>1188</v>
      </c>
      <c r="AK106" s="8">
        <v>803</v>
      </c>
      <c r="AL106" s="8">
        <v>624</v>
      </c>
      <c r="AM106" s="8">
        <v>1291</v>
      </c>
      <c r="AN106" s="8">
        <v>1150</v>
      </c>
      <c r="AO106" s="8">
        <v>965</v>
      </c>
      <c r="AP106" s="8">
        <v>1155</v>
      </c>
      <c r="AQ106" s="8">
        <v>374</v>
      </c>
      <c r="AR106" s="8">
        <v>980</v>
      </c>
      <c r="AS106" s="8">
        <v>1232</v>
      </c>
      <c r="AT106" s="8">
        <v>501</v>
      </c>
      <c r="AU106" s="8">
        <v>927</v>
      </c>
      <c r="AV106" s="8">
        <v>257</v>
      </c>
      <c r="AW106" s="8">
        <v>1080</v>
      </c>
      <c r="AX106" s="8">
        <v>818</v>
      </c>
      <c r="AY106" s="8">
        <v>1036</v>
      </c>
      <c r="AZ106" s="8">
        <v>489</v>
      </c>
      <c r="BA106" s="8">
        <v>702</v>
      </c>
      <c r="BB106" s="8">
        <v>1092</v>
      </c>
      <c r="BC106" s="8">
        <v>1217</v>
      </c>
      <c r="BD106" s="8">
        <v>1027</v>
      </c>
      <c r="BE106" s="8">
        <v>941</v>
      </c>
      <c r="BF106" s="8">
        <v>870</v>
      </c>
      <c r="BG106" s="8">
        <v>909</v>
      </c>
      <c r="BH106" s="8">
        <v>708</v>
      </c>
      <c r="BI106" s="8">
        <v>253</v>
      </c>
      <c r="BJ106" s="8">
        <v>869</v>
      </c>
      <c r="BK106" s="8">
        <v>939</v>
      </c>
      <c r="BL106" s="8">
        <v>463</v>
      </c>
      <c r="BM106" s="8">
        <v>1086</v>
      </c>
      <c r="BN106" s="8">
        <v>842</v>
      </c>
      <c r="BO106" s="8">
        <v>1002</v>
      </c>
      <c r="BP106" s="8">
        <v>1051</v>
      </c>
      <c r="BQ106" s="8">
        <v>962</v>
      </c>
      <c r="BR106" s="8">
        <v>338</v>
      </c>
      <c r="BS106" s="8">
        <v>866</v>
      </c>
      <c r="BT106" s="8">
        <v>725</v>
      </c>
      <c r="BU106" s="8">
        <v>347</v>
      </c>
      <c r="BV106" s="8">
        <v>1024</v>
      </c>
      <c r="BW106" s="8">
        <v>988</v>
      </c>
      <c r="BX106" s="8">
        <v>877</v>
      </c>
      <c r="BY106" s="8">
        <v>625</v>
      </c>
      <c r="BZ106" s="8">
        <v>1146</v>
      </c>
      <c r="CA106" s="8">
        <v>409</v>
      </c>
      <c r="CB106" s="8">
        <v>795</v>
      </c>
      <c r="CC106" s="8">
        <v>688</v>
      </c>
      <c r="CD106" s="8">
        <v>2944</v>
      </c>
      <c r="CE106" s="8">
        <v>853</v>
      </c>
      <c r="CF106" s="8">
        <v>763</v>
      </c>
      <c r="CG106" s="8">
        <v>873</v>
      </c>
      <c r="CH106" s="8">
        <v>413</v>
      </c>
      <c r="CJ106" s="9"/>
      <c r="CK106" s="9"/>
      <c r="CL106" s="9"/>
      <c r="CM106" s="9"/>
      <c r="CN106" s="9"/>
      <c r="CO106" s="9"/>
      <c r="CP106" s="9"/>
      <c r="CQ106" s="9"/>
      <c r="CR106" s="9"/>
      <c r="CS106" s="9"/>
      <c r="CT106" s="9"/>
      <c r="CU106" s="9"/>
      <c r="CV106" s="9"/>
      <c r="CW106" s="9"/>
      <c r="CX106" s="9"/>
      <c r="CY106" s="9"/>
      <c r="CZ106" s="9"/>
      <c r="DA106" s="9"/>
      <c r="DB106" s="9"/>
      <c r="DC106" s="9"/>
      <c r="DD106" s="9"/>
      <c r="DE106" s="9"/>
      <c r="DF106" s="9"/>
      <c r="DG106" s="9"/>
      <c r="DH106" s="9"/>
      <c r="DI106" s="9"/>
      <c r="DJ106" s="9"/>
      <c r="DK106" s="9"/>
      <c r="DL106" s="9"/>
      <c r="DM106" s="9"/>
      <c r="DN106" s="9"/>
      <c r="DO106" s="9"/>
      <c r="DP106" s="9"/>
      <c r="DQ106" s="9"/>
      <c r="DR106" s="9"/>
      <c r="DS106" s="9"/>
      <c r="DT106" s="9"/>
      <c r="DU106" s="9"/>
      <c r="DV106" s="9"/>
      <c r="DW106" s="9"/>
      <c r="DX106" s="9"/>
      <c r="DY106" s="9"/>
      <c r="DZ106" s="9"/>
      <c r="EA106" s="9"/>
      <c r="EB106" s="9"/>
      <c r="EC106" s="9"/>
      <c r="ED106" s="9"/>
      <c r="EE106" s="9"/>
      <c r="EF106" s="9"/>
      <c r="EG106" s="9"/>
      <c r="EH106" s="9"/>
      <c r="EI106" s="9"/>
      <c r="EJ106" s="9"/>
      <c r="EK106" s="9"/>
      <c r="EL106" s="9"/>
      <c r="EM106" s="9"/>
      <c r="EN106" s="9"/>
      <c r="EO106" s="9"/>
      <c r="EP106" s="9"/>
      <c r="EQ106" s="9"/>
      <c r="ER106" s="9"/>
      <c r="ES106" s="9"/>
      <c r="ET106" s="9"/>
      <c r="EU106" s="9"/>
      <c r="EV106" s="9"/>
      <c r="EW106" s="9"/>
      <c r="EX106" s="9"/>
      <c r="EY106" s="9"/>
      <c r="EZ106" s="9"/>
      <c r="FA106" s="9"/>
      <c r="FB106" s="9"/>
      <c r="FC106" s="9"/>
      <c r="FD106" s="9"/>
      <c r="FE106" s="9"/>
      <c r="FF106" s="9"/>
      <c r="FG106" s="9"/>
      <c r="FH106" s="9"/>
      <c r="FI106" s="9"/>
    </row>
    <row r="107" spans="1:165" x14ac:dyDescent="0.2">
      <c r="A107" s="1" t="s">
        <v>613</v>
      </c>
      <c r="B107" s="1" t="s">
        <v>614</v>
      </c>
      <c r="C107" s="1" t="s">
        <v>615</v>
      </c>
      <c r="D107" s="1" t="str">
        <f>HYPERLINK("http://eros.fiehnlab.ucdavis.edu:8080/binbase-compound/bin/show/199612?db=rtx5","199612")</f>
        <v>199612</v>
      </c>
      <c r="E107" s="1" t="s">
        <v>616</v>
      </c>
      <c r="F107" s="1" t="str">
        <f>HYPERLINK("http://www.genome.ad.jp/dbget-bin/www_bget?compound+C00049","C00049")</f>
        <v>C00049</v>
      </c>
      <c r="G107" s="1" t="str">
        <f>HYPERLINK("http://pubchem.ncbi.nlm.nih.gov/summary/summary.cgi?cid=5960","5960")</f>
        <v>5960</v>
      </c>
      <c r="H107" s="1"/>
      <c r="I107" s="8">
        <v>9876</v>
      </c>
      <c r="J107" s="8">
        <v>11951</v>
      </c>
      <c r="K107" s="8">
        <v>8774</v>
      </c>
      <c r="L107" s="8">
        <v>9878</v>
      </c>
      <c r="M107" s="8">
        <v>4518</v>
      </c>
      <c r="N107" s="8">
        <v>4401</v>
      </c>
      <c r="O107" s="8">
        <v>10239</v>
      </c>
      <c r="P107" s="8">
        <v>12628</v>
      </c>
      <c r="Q107" s="8">
        <v>4801</v>
      </c>
      <c r="R107" s="8">
        <v>6528</v>
      </c>
      <c r="S107" s="8">
        <v>5669</v>
      </c>
      <c r="T107" s="8">
        <v>20763</v>
      </c>
      <c r="U107" s="8">
        <v>22835</v>
      </c>
      <c r="V107" s="8">
        <v>19359</v>
      </c>
      <c r="W107" s="8">
        <v>22057</v>
      </c>
      <c r="X107" s="8">
        <v>23340</v>
      </c>
      <c r="Y107" s="8">
        <v>26083</v>
      </c>
      <c r="Z107" s="8">
        <v>26605</v>
      </c>
      <c r="AA107" s="8">
        <v>6373</v>
      </c>
      <c r="AB107" s="8">
        <v>7076</v>
      </c>
      <c r="AC107" s="8">
        <v>4927</v>
      </c>
      <c r="AD107" s="8">
        <v>4774</v>
      </c>
      <c r="AE107" s="8">
        <v>6166</v>
      </c>
      <c r="AF107" s="8">
        <v>2644</v>
      </c>
      <c r="AG107" s="8">
        <v>16662</v>
      </c>
      <c r="AH107" s="8">
        <v>19838</v>
      </c>
      <c r="AI107" s="8">
        <v>15725</v>
      </c>
      <c r="AJ107" s="8">
        <v>24194</v>
      </c>
      <c r="AK107" s="8">
        <v>16907</v>
      </c>
      <c r="AL107" s="8">
        <v>4864</v>
      </c>
      <c r="AM107" s="8">
        <v>10363</v>
      </c>
      <c r="AN107" s="8">
        <v>7428</v>
      </c>
      <c r="AO107" s="8">
        <v>8808</v>
      </c>
      <c r="AP107" s="8">
        <v>9304</v>
      </c>
      <c r="AQ107" s="8">
        <v>2728</v>
      </c>
      <c r="AR107" s="8">
        <v>3636</v>
      </c>
      <c r="AS107" s="8">
        <v>24807</v>
      </c>
      <c r="AT107" s="8">
        <v>20801</v>
      </c>
      <c r="AU107" s="8">
        <v>20102</v>
      </c>
      <c r="AV107" s="8">
        <v>20848</v>
      </c>
      <c r="AW107" s="8">
        <v>25407</v>
      </c>
      <c r="AX107" s="8">
        <v>22774</v>
      </c>
      <c r="AY107" s="8">
        <v>6794</v>
      </c>
      <c r="AZ107" s="8">
        <v>7899</v>
      </c>
      <c r="BA107" s="8">
        <v>2942</v>
      </c>
      <c r="BB107" s="8">
        <v>2673</v>
      </c>
      <c r="BC107" s="8">
        <v>2663</v>
      </c>
      <c r="BD107" s="8">
        <v>3588</v>
      </c>
      <c r="BE107" s="8">
        <v>20560</v>
      </c>
      <c r="BF107" s="8">
        <v>23296</v>
      </c>
      <c r="BG107" s="8">
        <v>20415</v>
      </c>
      <c r="BH107" s="8">
        <v>18045</v>
      </c>
      <c r="BI107" s="8">
        <v>20359</v>
      </c>
      <c r="BJ107" s="8">
        <v>19579</v>
      </c>
      <c r="BK107" s="8">
        <v>10280</v>
      </c>
      <c r="BL107" s="8">
        <v>7803</v>
      </c>
      <c r="BM107" s="8">
        <v>10846</v>
      </c>
      <c r="BN107" s="8">
        <v>10389</v>
      </c>
      <c r="BO107" s="8">
        <v>8650</v>
      </c>
      <c r="BP107" s="8">
        <v>8363</v>
      </c>
      <c r="BQ107" s="8">
        <v>31843</v>
      </c>
      <c r="BR107" s="8">
        <v>30451</v>
      </c>
      <c r="BS107" s="8">
        <v>29824</v>
      </c>
      <c r="BT107" s="8">
        <v>26461</v>
      </c>
      <c r="BU107" s="8">
        <v>30475</v>
      </c>
      <c r="BV107" s="8">
        <v>26360</v>
      </c>
      <c r="BW107" s="8">
        <v>6774</v>
      </c>
      <c r="BX107" s="8">
        <v>6839</v>
      </c>
      <c r="BY107" s="8">
        <v>7407</v>
      </c>
      <c r="BZ107" s="8">
        <v>6673</v>
      </c>
      <c r="CA107" s="8">
        <v>3387</v>
      </c>
      <c r="CB107" s="8">
        <v>3406</v>
      </c>
      <c r="CC107" s="8">
        <v>21360</v>
      </c>
      <c r="CD107" s="8">
        <v>26831</v>
      </c>
      <c r="CE107" s="8">
        <v>23695</v>
      </c>
      <c r="CF107" s="8">
        <v>24085</v>
      </c>
      <c r="CG107" s="8">
        <v>23347</v>
      </c>
      <c r="CH107" s="8">
        <v>30044</v>
      </c>
      <c r="CJ107" s="9"/>
      <c r="CK107" s="9"/>
      <c r="CL107" s="9"/>
      <c r="CM107" s="9"/>
      <c r="CN107" s="9"/>
      <c r="CO107" s="9"/>
      <c r="CP107" s="9"/>
      <c r="CQ107" s="9"/>
      <c r="CR107" s="9"/>
      <c r="CS107" s="9"/>
      <c r="CT107" s="9"/>
      <c r="CU107" s="9"/>
      <c r="CV107" s="9"/>
      <c r="CW107" s="9"/>
      <c r="CX107" s="9"/>
      <c r="CY107" s="9"/>
      <c r="CZ107" s="9"/>
      <c r="DA107" s="9"/>
      <c r="DB107" s="9"/>
      <c r="DC107" s="9"/>
      <c r="DD107" s="9"/>
      <c r="DE107" s="9"/>
      <c r="DF107" s="9"/>
      <c r="DG107" s="9"/>
      <c r="DH107" s="9"/>
      <c r="DI107" s="9"/>
      <c r="DJ107" s="9"/>
      <c r="DK107" s="9"/>
      <c r="DL107" s="9"/>
      <c r="DM107" s="9"/>
      <c r="DN107" s="9"/>
      <c r="DO107" s="9"/>
      <c r="DP107" s="9"/>
      <c r="DQ107" s="9"/>
      <c r="DR107" s="9"/>
      <c r="DS107" s="9"/>
      <c r="DT107" s="9"/>
      <c r="DU107" s="9"/>
      <c r="DV107" s="9"/>
      <c r="DW107" s="9"/>
      <c r="DX107" s="9"/>
      <c r="DY107" s="9"/>
      <c r="DZ107" s="9"/>
      <c r="EA107" s="9"/>
      <c r="EB107" s="9"/>
      <c r="EC107" s="9"/>
      <c r="ED107" s="9"/>
      <c r="EE107" s="9"/>
      <c r="EF107" s="9"/>
      <c r="EG107" s="9"/>
      <c r="EH107" s="9"/>
      <c r="EI107" s="9"/>
      <c r="EJ107" s="9"/>
      <c r="EK107" s="9"/>
      <c r="EL107" s="9"/>
      <c r="EM107" s="9"/>
      <c r="EN107" s="9"/>
      <c r="EO107" s="9"/>
      <c r="EP107" s="9"/>
      <c r="EQ107" s="9"/>
      <c r="ER107" s="9"/>
      <c r="ES107" s="9"/>
      <c r="ET107" s="9"/>
      <c r="EU107" s="9"/>
      <c r="EV107" s="9"/>
      <c r="EW107" s="9"/>
      <c r="EX107" s="9"/>
      <c r="EY107" s="9"/>
      <c r="EZ107" s="9"/>
      <c r="FA107" s="9"/>
      <c r="FB107" s="9"/>
      <c r="FC107" s="9"/>
      <c r="FD107" s="9"/>
      <c r="FE107" s="9"/>
      <c r="FF107" s="9"/>
      <c r="FG107" s="9"/>
      <c r="FH107" s="9"/>
      <c r="FI107" s="9"/>
    </row>
    <row r="108" spans="1:165" x14ac:dyDescent="0.2">
      <c r="A108" s="1" t="s">
        <v>621</v>
      </c>
      <c r="B108" s="1" t="s">
        <v>618</v>
      </c>
      <c r="C108" s="1" t="s">
        <v>394</v>
      </c>
      <c r="D108" s="1" t="str">
        <f>HYPERLINK("http://eros.fiehnlab.ucdavis.edu:8080/binbase-compound/bin/show/200518?db=rtx5","200518")</f>
        <v>200518</v>
      </c>
      <c r="E108" s="1" t="s">
        <v>619</v>
      </c>
      <c r="F108" s="1" t="str">
        <f>HYPERLINK("http://www.genome.ad.jp/dbget-bin/www_bget?compound+C00152","C00152")</f>
        <v>C00152</v>
      </c>
      <c r="G108" s="1" t="str">
        <f>HYPERLINK("http://pubchem.ncbi.nlm.nih.gov/summary/summary.cgi?cid=236","236")</f>
        <v>236</v>
      </c>
      <c r="H108" s="1"/>
      <c r="I108" s="8">
        <v>1546</v>
      </c>
      <c r="J108" s="8">
        <v>1718</v>
      </c>
      <c r="K108" s="8">
        <v>1391</v>
      </c>
      <c r="L108" s="8">
        <v>1273</v>
      </c>
      <c r="M108" s="8">
        <v>7337</v>
      </c>
      <c r="N108" s="8">
        <v>1874</v>
      </c>
      <c r="O108" s="8">
        <v>1754</v>
      </c>
      <c r="P108" s="8">
        <v>2467</v>
      </c>
      <c r="Q108" s="8">
        <v>1705</v>
      </c>
      <c r="R108" s="8">
        <v>1411</v>
      </c>
      <c r="S108" s="8">
        <v>7386</v>
      </c>
      <c r="T108" s="8">
        <v>2270</v>
      </c>
      <c r="U108" s="8">
        <v>1751</v>
      </c>
      <c r="V108" s="8">
        <v>1707</v>
      </c>
      <c r="W108" s="8">
        <v>2310</v>
      </c>
      <c r="X108" s="8">
        <v>1838</v>
      </c>
      <c r="Y108" s="8">
        <v>1635</v>
      </c>
      <c r="Z108" s="8">
        <v>1530</v>
      </c>
      <c r="AA108" s="8">
        <v>974</v>
      </c>
      <c r="AB108" s="8">
        <v>1096</v>
      </c>
      <c r="AC108" s="8">
        <v>727</v>
      </c>
      <c r="AD108" s="8">
        <v>1142</v>
      </c>
      <c r="AE108" s="8">
        <v>1076</v>
      </c>
      <c r="AF108" s="8">
        <v>3686</v>
      </c>
      <c r="AG108" s="8">
        <v>1576</v>
      </c>
      <c r="AH108" s="8">
        <v>1355</v>
      </c>
      <c r="AI108" s="8">
        <v>1656</v>
      </c>
      <c r="AJ108" s="8">
        <v>2349</v>
      </c>
      <c r="AK108" s="8">
        <v>1880</v>
      </c>
      <c r="AL108" s="8">
        <v>1667</v>
      </c>
      <c r="AM108" s="8">
        <v>1905</v>
      </c>
      <c r="AN108" s="8">
        <v>2112</v>
      </c>
      <c r="AO108" s="8">
        <v>2191</v>
      </c>
      <c r="AP108" s="8">
        <v>1616</v>
      </c>
      <c r="AQ108" s="8">
        <v>1530</v>
      </c>
      <c r="AR108" s="8">
        <v>1910</v>
      </c>
      <c r="AS108" s="8">
        <v>2700</v>
      </c>
      <c r="AT108" s="8">
        <v>2014</v>
      </c>
      <c r="AU108" s="8">
        <v>2780</v>
      </c>
      <c r="AV108" s="8">
        <v>3213</v>
      </c>
      <c r="AW108" s="8">
        <v>2673</v>
      </c>
      <c r="AX108" s="8">
        <v>2491</v>
      </c>
      <c r="AY108" s="8">
        <v>998</v>
      </c>
      <c r="AZ108" s="8">
        <v>1045</v>
      </c>
      <c r="BA108" s="8">
        <v>5108</v>
      </c>
      <c r="BB108" s="8">
        <v>4893</v>
      </c>
      <c r="BC108" s="8">
        <v>5529</v>
      </c>
      <c r="BD108" s="8">
        <v>4430</v>
      </c>
      <c r="BE108" s="8">
        <v>1730</v>
      </c>
      <c r="BF108" s="8">
        <v>2013</v>
      </c>
      <c r="BG108" s="8">
        <v>2713</v>
      </c>
      <c r="BH108" s="8">
        <v>2323</v>
      </c>
      <c r="BI108" s="8">
        <v>2137</v>
      </c>
      <c r="BJ108" s="8">
        <v>1864</v>
      </c>
      <c r="BK108" s="8">
        <v>1254</v>
      </c>
      <c r="BL108" s="8">
        <v>1570</v>
      </c>
      <c r="BM108" s="8">
        <v>1776</v>
      </c>
      <c r="BN108" s="8">
        <v>1375</v>
      </c>
      <c r="BO108" s="8">
        <v>1890</v>
      </c>
      <c r="BP108" s="8">
        <v>1560</v>
      </c>
      <c r="BQ108" s="8">
        <v>1658</v>
      </c>
      <c r="BR108" s="8">
        <v>1497</v>
      </c>
      <c r="BS108" s="8">
        <v>1403</v>
      </c>
      <c r="BT108" s="8">
        <v>1511</v>
      </c>
      <c r="BU108" s="8">
        <v>1243</v>
      </c>
      <c r="BV108" s="8">
        <v>1562</v>
      </c>
      <c r="BW108" s="8">
        <v>941</v>
      </c>
      <c r="BX108" s="8">
        <v>868</v>
      </c>
      <c r="BY108" s="8">
        <v>889</v>
      </c>
      <c r="BZ108" s="8">
        <v>877</v>
      </c>
      <c r="CA108" s="8">
        <v>4783</v>
      </c>
      <c r="CB108" s="8">
        <v>3553</v>
      </c>
      <c r="CC108" s="8">
        <v>1601</v>
      </c>
      <c r="CD108" s="8">
        <v>1433</v>
      </c>
      <c r="CE108" s="8">
        <v>1171</v>
      </c>
      <c r="CF108" s="8">
        <v>1854</v>
      </c>
      <c r="CG108" s="8">
        <v>1634</v>
      </c>
      <c r="CH108" s="8">
        <v>1572</v>
      </c>
      <c r="CJ108" s="9"/>
      <c r="CK108" s="9"/>
      <c r="CL108" s="9"/>
      <c r="CM108" s="9"/>
      <c r="CN108" s="9"/>
      <c r="CO108" s="9"/>
      <c r="CP108" s="9"/>
      <c r="CQ108" s="9"/>
      <c r="CR108" s="9"/>
      <c r="CS108" s="9"/>
      <c r="CT108" s="9"/>
      <c r="CU108" s="9"/>
      <c r="CV108" s="9"/>
      <c r="CW108" s="9"/>
      <c r="CX108" s="9"/>
      <c r="CY108" s="9"/>
      <c r="CZ108" s="9"/>
      <c r="DA108" s="9"/>
      <c r="DB108" s="9"/>
      <c r="DC108" s="9"/>
      <c r="DD108" s="9"/>
      <c r="DE108" s="9"/>
      <c r="DF108" s="9"/>
      <c r="DG108" s="9"/>
      <c r="DH108" s="9"/>
      <c r="DI108" s="9"/>
      <c r="DJ108" s="9"/>
      <c r="DK108" s="9"/>
      <c r="DL108" s="9"/>
      <c r="DM108" s="9"/>
      <c r="DN108" s="9"/>
      <c r="DO108" s="9"/>
      <c r="DP108" s="9"/>
      <c r="DQ108" s="9"/>
      <c r="DR108" s="9"/>
      <c r="DS108" s="9"/>
      <c r="DT108" s="9"/>
      <c r="DU108" s="9"/>
      <c r="DV108" s="9"/>
      <c r="DW108" s="9"/>
      <c r="DX108" s="9"/>
      <c r="DY108" s="9"/>
      <c r="DZ108" s="9"/>
      <c r="EA108" s="9"/>
      <c r="EB108" s="9"/>
      <c r="EC108" s="9"/>
      <c r="ED108" s="9"/>
      <c r="EE108" s="9"/>
      <c r="EF108" s="9"/>
      <c r="EG108" s="9"/>
      <c r="EH108" s="9"/>
      <c r="EI108" s="9"/>
      <c r="EJ108" s="9"/>
      <c r="EK108" s="9"/>
      <c r="EL108" s="9"/>
      <c r="EM108" s="9"/>
      <c r="EN108" s="9"/>
      <c r="EO108" s="9"/>
      <c r="EP108" s="9"/>
      <c r="EQ108" s="9"/>
      <c r="ER108" s="9"/>
      <c r="ES108" s="9"/>
      <c r="ET108" s="9"/>
      <c r="EU108" s="9"/>
      <c r="EV108" s="9"/>
      <c r="EW108" s="9"/>
      <c r="EX108" s="9"/>
      <c r="EY108" s="9"/>
      <c r="EZ108" s="9"/>
      <c r="FA108" s="9"/>
      <c r="FB108" s="9"/>
      <c r="FC108" s="9"/>
      <c r="FD108" s="9"/>
      <c r="FE108" s="9"/>
      <c r="FF108" s="9"/>
      <c r="FG108" s="9"/>
      <c r="FH108" s="9"/>
      <c r="FI108" s="9"/>
    </row>
    <row r="109" spans="1:165" x14ac:dyDescent="0.2">
      <c r="A109" s="1" t="s">
        <v>622</v>
      </c>
      <c r="B109" s="1" t="s">
        <v>623</v>
      </c>
      <c r="C109" s="1" t="s">
        <v>304</v>
      </c>
      <c r="D109" s="1" t="str">
        <f>HYPERLINK("http://eros.fiehnlab.ucdavis.edu:8080/binbase-compound/bin/show/241206?db=rtx5","241206")</f>
        <v>241206</v>
      </c>
      <c r="E109" s="1" t="s">
        <v>624</v>
      </c>
      <c r="F109" s="1" t="str">
        <f>HYPERLINK("http://www.genome.ad.jp/dbget-bin/www_bget?compound+C06425","C06425")</f>
        <v>C06425</v>
      </c>
      <c r="G109" s="1" t="str">
        <f>HYPERLINK("http://pubchem.ncbi.nlm.nih.gov/summary/summary.cgi?cid=10467","10467")</f>
        <v>10467</v>
      </c>
      <c r="H109" s="1"/>
      <c r="I109" s="8">
        <v>2065</v>
      </c>
      <c r="J109" s="8">
        <v>1300</v>
      </c>
      <c r="K109" s="8">
        <v>1761</v>
      </c>
      <c r="L109" s="8">
        <v>1711</v>
      </c>
      <c r="M109" s="8">
        <v>1302</v>
      </c>
      <c r="N109" s="8">
        <v>276</v>
      </c>
      <c r="O109" s="8">
        <v>435</v>
      </c>
      <c r="P109" s="8">
        <v>2065</v>
      </c>
      <c r="Q109" s="8">
        <v>748</v>
      </c>
      <c r="R109" s="8">
        <v>595</v>
      </c>
      <c r="S109" s="8">
        <v>834</v>
      </c>
      <c r="T109" s="8">
        <v>518</v>
      </c>
      <c r="U109" s="8">
        <v>1530</v>
      </c>
      <c r="V109" s="8">
        <v>1808</v>
      </c>
      <c r="W109" s="8">
        <v>149</v>
      </c>
      <c r="X109" s="8">
        <v>660</v>
      </c>
      <c r="Y109" s="8">
        <v>461</v>
      </c>
      <c r="Z109" s="8">
        <v>512</v>
      </c>
      <c r="AA109" s="8">
        <v>1150</v>
      </c>
      <c r="AB109" s="8">
        <v>97</v>
      </c>
      <c r="AC109" s="8">
        <v>1678</v>
      </c>
      <c r="AD109" s="8">
        <v>1896</v>
      </c>
      <c r="AE109" s="8">
        <v>2305</v>
      </c>
      <c r="AF109" s="8">
        <v>734</v>
      </c>
      <c r="AG109" s="8">
        <v>1401</v>
      </c>
      <c r="AH109" s="8">
        <v>1220</v>
      </c>
      <c r="AI109" s="8">
        <v>1931</v>
      </c>
      <c r="AJ109" s="8">
        <v>2408</v>
      </c>
      <c r="AK109" s="8">
        <v>531</v>
      </c>
      <c r="AL109" s="8">
        <v>671</v>
      </c>
      <c r="AM109" s="8">
        <v>2060</v>
      </c>
      <c r="AN109" s="8">
        <v>1881</v>
      </c>
      <c r="AO109" s="8">
        <v>1937</v>
      </c>
      <c r="AP109" s="8">
        <v>2599</v>
      </c>
      <c r="AQ109" s="8">
        <v>772</v>
      </c>
      <c r="AR109" s="8">
        <v>697</v>
      </c>
      <c r="AS109" s="8">
        <v>2014</v>
      </c>
      <c r="AT109" s="8">
        <v>2083</v>
      </c>
      <c r="AU109" s="8">
        <v>1932</v>
      </c>
      <c r="AV109" s="8">
        <v>1653</v>
      </c>
      <c r="AW109" s="8">
        <v>2419</v>
      </c>
      <c r="AX109" s="8">
        <v>493</v>
      </c>
      <c r="AY109" s="8">
        <v>2147</v>
      </c>
      <c r="AZ109" s="8">
        <v>2495</v>
      </c>
      <c r="BA109" s="8">
        <v>748</v>
      </c>
      <c r="BB109" s="8">
        <v>676</v>
      </c>
      <c r="BC109" s="8">
        <v>610</v>
      </c>
      <c r="BD109" s="8">
        <v>586</v>
      </c>
      <c r="BE109" s="8">
        <v>1748</v>
      </c>
      <c r="BF109" s="8">
        <v>1509</v>
      </c>
      <c r="BG109" s="8">
        <v>2226</v>
      </c>
      <c r="BH109" s="8">
        <v>1131</v>
      </c>
      <c r="BI109" s="8">
        <v>652</v>
      </c>
      <c r="BJ109" s="8">
        <v>487</v>
      </c>
      <c r="BK109" s="8">
        <v>1962</v>
      </c>
      <c r="BL109" s="8">
        <v>688</v>
      </c>
      <c r="BM109" s="8">
        <v>2350</v>
      </c>
      <c r="BN109" s="8">
        <v>1430</v>
      </c>
      <c r="BO109" s="8">
        <v>2066</v>
      </c>
      <c r="BP109" s="8">
        <v>29</v>
      </c>
      <c r="BQ109" s="8">
        <v>2063</v>
      </c>
      <c r="BR109" s="8">
        <v>2053</v>
      </c>
      <c r="BS109" s="8">
        <v>1851</v>
      </c>
      <c r="BT109" s="8">
        <v>582</v>
      </c>
      <c r="BU109" s="8">
        <v>585</v>
      </c>
      <c r="BV109" s="8">
        <v>593</v>
      </c>
      <c r="BW109" s="8">
        <v>1777</v>
      </c>
      <c r="BX109" s="8">
        <v>2208</v>
      </c>
      <c r="BY109" s="8">
        <v>1436</v>
      </c>
      <c r="BZ109" s="8">
        <v>2332</v>
      </c>
      <c r="CA109" s="8">
        <v>761</v>
      </c>
      <c r="CB109" s="8">
        <v>620</v>
      </c>
      <c r="CC109" s="8">
        <v>1537</v>
      </c>
      <c r="CD109" s="8">
        <v>4047</v>
      </c>
      <c r="CE109" s="8">
        <v>1698</v>
      </c>
      <c r="CF109" s="8">
        <v>1417</v>
      </c>
      <c r="CG109" s="8">
        <v>1703</v>
      </c>
      <c r="CH109" s="8">
        <v>699</v>
      </c>
      <c r="CJ109" s="9"/>
      <c r="CK109" s="9"/>
      <c r="CL109" s="9"/>
      <c r="CM109" s="9"/>
      <c r="CN109" s="9"/>
      <c r="CO109" s="9"/>
      <c r="CP109" s="9"/>
      <c r="CQ109" s="9"/>
      <c r="CR109" s="9"/>
      <c r="CS109" s="9"/>
      <c r="CT109" s="9"/>
      <c r="CU109" s="9"/>
      <c r="CV109" s="9"/>
      <c r="CW109" s="9"/>
      <c r="CX109" s="9"/>
      <c r="CY109" s="9"/>
      <c r="CZ109" s="9"/>
      <c r="DA109" s="9"/>
      <c r="DB109" s="9"/>
      <c r="DC109" s="9"/>
      <c r="DD109" s="9"/>
      <c r="DE109" s="9"/>
      <c r="DF109" s="9"/>
      <c r="DG109" s="9"/>
      <c r="DH109" s="9"/>
      <c r="DI109" s="9"/>
      <c r="DJ109" s="9"/>
      <c r="DK109" s="9"/>
      <c r="DL109" s="9"/>
      <c r="DM109" s="9"/>
      <c r="DN109" s="9"/>
      <c r="DO109" s="9"/>
      <c r="DP109" s="9"/>
      <c r="DQ109" s="9"/>
      <c r="DR109" s="9"/>
      <c r="DS109" s="9"/>
      <c r="DT109" s="9"/>
      <c r="DU109" s="9"/>
      <c r="DV109" s="9"/>
      <c r="DW109" s="9"/>
      <c r="DX109" s="9"/>
      <c r="DY109" s="9"/>
      <c r="DZ109" s="9"/>
      <c r="EA109" s="9"/>
      <c r="EB109" s="9"/>
      <c r="EC109" s="9"/>
      <c r="ED109" s="9"/>
      <c r="EE109" s="9"/>
      <c r="EF109" s="9"/>
      <c r="EG109" s="9"/>
      <c r="EH109" s="9"/>
      <c r="EI109" s="9"/>
      <c r="EJ109" s="9"/>
      <c r="EK109" s="9"/>
      <c r="EL109" s="9"/>
      <c r="EM109" s="9"/>
      <c r="EN109" s="9"/>
      <c r="EO109" s="9"/>
      <c r="EP109" s="9"/>
      <c r="EQ109" s="9"/>
      <c r="ER109" s="9"/>
      <c r="ES109" s="9"/>
      <c r="ET109" s="9"/>
      <c r="EU109" s="9"/>
      <c r="EV109" s="9"/>
      <c r="EW109" s="9"/>
      <c r="EX109" s="9"/>
      <c r="EY109" s="9"/>
      <c r="EZ109" s="9"/>
      <c r="FA109" s="9"/>
      <c r="FB109" s="9"/>
      <c r="FC109" s="9"/>
      <c r="FD109" s="9"/>
      <c r="FE109" s="9"/>
      <c r="FF109" s="9"/>
      <c r="FG109" s="9"/>
      <c r="FH109" s="9"/>
      <c r="FI109" s="9"/>
    </row>
    <row r="110" spans="1:165" x14ac:dyDescent="0.2">
      <c r="A110" s="1" t="s">
        <v>625</v>
      </c>
      <c r="B110" s="1" t="s">
        <v>626</v>
      </c>
      <c r="C110" s="1" t="s">
        <v>627</v>
      </c>
      <c r="D110" s="1" t="str">
        <f>HYPERLINK("http://eros.fiehnlab.ucdavis.edu:8080/binbase-compound/bin/show/200425?db=rtx5","200425")</f>
        <v>200425</v>
      </c>
      <c r="E110" s="1" t="s">
        <v>628</v>
      </c>
      <c r="F110" s="1" t="str">
        <f>HYPERLINK("http://www.genome.ad.jp/dbget-bin/www_bget?compound+C00026","C00026")</f>
        <v>C00026</v>
      </c>
      <c r="G110" s="1" t="str">
        <f>HYPERLINK("http://pubchem.ncbi.nlm.nih.gov/summary/summary.cgi?cid=51","51")</f>
        <v>51</v>
      </c>
      <c r="H110" s="1"/>
      <c r="I110" s="8">
        <v>344</v>
      </c>
      <c r="J110" s="8">
        <v>310</v>
      </c>
      <c r="K110" s="8">
        <v>437</v>
      </c>
      <c r="L110" s="8">
        <v>145</v>
      </c>
      <c r="M110" s="8">
        <v>114</v>
      </c>
      <c r="N110" s="8">
        <v>89</v>
      </c>
      <c r="O110" s="8">
        <v>616</v>
      </c>
      <c r="P110" s="8">
        <v>686</v>
      </c>
      <c r="Q110" s="8">
        <v>728</v>
      </c>
      <c r="R110" s="8">
        <v>831</v>
      </c>
      <c r="S110" s="8">
        <v>661</v>
      </c>
      <c r="T110" s="8">
        <v>541</v>
      </c>
      <c r="U110" s="8">
        <v>677</v>
      </c>
      <c r="V110" s="8">
        <v>842</v>
      </c>
      <c r="W110" s="8">
        <v>1283</v>
      </c>
      <c r="X110" s="8">
        <v>125</v>
      </c>
      <c r="Y110" s="8">
        <v>77</v>
      </c>
      <c r="Z110" s="8">
        <v>537</v>
      </c>
      <c r="AA110" s="8">
        <v>781</v>
      </c>
      <c r="AB110" s="8">
        <v>1094</v>
      </c>
      <c r="AC110" s="8">
        <v>1402</v>
      </c>
      <c r="AD110" s="8">
        <v>1372</v>
      </c>
      <c r="AE110" s="8">
        <v>889</v>
      </c>
      <c r="AF110" s="8">
        <v>1001</v>
      </c>
      <c r="AG110" s="8">
        <v>1444</v>
      </c>
      <c r="AH110" s="8">
        <v>1290</v>
      </c>
      <c r="AI110" s="8">
        <v>1824</v>
      </c>
      <c r="AJ110" s="8">
        <v>1629</v>
      </c>
      <c r="AK110" s="8">
        <v>1462</v>
      </c>
      <c r="AL110" s="8">
        <v>103</v>
      </c>
      <c r="AM110" s="8">
        <v>623</v>
      </c>
      <c r="AN110" s="8">
        <v>683</v>
      </c>
      <c r="AO110" s="8">
        <v>527</v>
      </c>
      <c r="AP110" s="8">
        <v>464</v>
      </c>
      <c r="AQ110" s="8">
        <v>105</v>
      </c>
      <c r="AR110" s="8">
        <v>93</v>
      </c>
      <c r="AS110" s="8">
        <v>1025</v>
      </c>
      <c r="AT110" s="8">
        <v>838</v>
      </c>
      <c r="AU110" s="8">
        <v>901</v>
      </c>
      <c r="AV110" s="8">
        <v>958</v>
      </c>
      <c r="AW110" s="8">
        <v>987</v>
      </c>
      <c r="AX110" s="8">
        <v>81</v>
      </c>
      <c r="AY110" s="8">
        <v>1022</v>
      </c>
      <c r="AZ110" s="8">
        <v>1055</v>
      </c>
      <c r="BA110" s="8">
        <v>1035</v>
      </c>
      <c r="BB110" s="8">
        <v>1135</v>
      </c>
      <c r="BC110" s="8">
        <v>954</v>
      </c>
      <c r="BD110" s="8">
        <v>102</v>
      </c>
      <c r="BE110" s="8">
        <v>1918</v>
      </c>
      <c r="BF110" s="8">
        <v>1370</v>
      </c>
      <c r="BG110" s="8">
        <v>1705</v>
      </c>
      <c r="BH110" s="8">
        <v>1346</v>
      </c>
      <c r="BI110" s="8">
        <v>1877</v>
      </c>
      <c r="BJ110" s="8">
        <v>1634</v>
      </c>
      <c r="BK110" s="8">
        <v>607</v>
      </c>
      <c r="BL110" s="8">
        <v>622</v>
      </c>
      <c r="BM110" s="8">
        <v>551</v>
      </c>
      <c r="BN110" s="8">
        <v>391</v>
      </c>
      <c r="BO110" s="8">
        <v>600</v>
      </c>
      <c r="BP110" s="8">
        <v>634</v>
      </c>
      <c r="BQ110" s="8">
        <v>508</v>
      </c>
      <c r="BR110" s="8">
        <v>168</v>
      </c>
      <c r="BS110" s="8">
        <v>361</v>
      </c>
      <c r="BT110" s="8">
        <v>528</v>
      </c>
      <c r="BU110" s="8">
        <v>104</v>
      </c>
      <c r="BV110" s="8">
        <v>580</v>
      </c>
      <c r="BW110" s="8">
        <v>840</v>
      </c>
      <c r="BX110" s="8">
        <v>1067</v>
      </c>
      <c r="BY110" s="8">
        <v>1183</v>
      </c>
      <c r="BZ110" s="8">
        <v>788</v>
      </c>
      <c r="CA110" s="8">
        <v>955</v>
      </c>
      <c r="CB110" s="8">
        <v>752</v>
      </c>
      <c r="CC110" s="8">
        <v>786</v>
      </c>
      <c r="CD110" s="8">
        <v>962</v>
      </c>
      <c r="CE110" s="8">
        <v>839</v>
      </c>
      <c r="CF110" s="8">
        <v>867</v>
      </c>
      <c r="CG110" s="8">
        <v>824</v>
      </c>
      <c r="CH110" s="8">
        <v>769</v>
      </c>
      <c r="CJ110" s="9"/>
      <c r="CK110" s="9"/>
      <c r="CL110" s="9"/>
      <c r="CM110" s="9"/>
      <c r="CN110" s="9"/>
      <c r="CO110" s="9"/>
      <c r="CP110" s="9"/>
      <c r="CQ110" s="9"/>
      <c r="CR110" s="9"/>
      <c r="CS110" s="9"/>
      <c r="CT110" s="9"/>
      <c r="CU110" s="9"/>
      <c r="CV110" s="9"/>
      <c r="CW110" s="9"/>
      <c r="CX110" s="9"/>
      <c r="CY110" s="9"/>
      <c r="CZ110" s="9"/>
      <c r="DA110" s="9"/>
      <c r="DB110" s="9"/>
      <c r="DC110" s="9"/>
      <c r="DD110" s="9"/>
      <c r="DE110" s="9"/>
      <c r="DF110" s="9"/>
      <c r="DG110" s="9"/>
      <c r="DH110" s="9"/>
      <c r="DI110" s="9"/>
      <c r="DJ110" s="9"/>
      <c r="DK110" s="9"/>
      <c r="DL110" s="9"/>
      <c r="DM110" s="9"/>
      <c r="DN110" s="9"/>
      <c r="DO110" s="9"/>
      <c r="DP110" s="9"/>
      <c r="DQ110" s="9"/>
      <c r="DR110" s="9"/>
      <c r="DS110" s="9"/>
      <c r="DT110" s="9"/>
      <c r="DU110" s="9"/>
      <c r="DV110" s="9"/>
      <c r="DW110" s="9"/>
      <c r="DX110" s="9"/>
      <c r="DY110" s="9"/>
      <c r="DZ110" s="9"/>
      <c r="EA110" s="9"/>
      <c r="EB110" s="9"/>
      <c r="EC110" s="9"/>
      <c r="ED110" s="9"/>
      <c r="EE110" s="9"/>
      <c r="EF110" s="9"/>
      <c r="EG110" s="9"/>
      <c r="EH110" s="9"/>
      <c r="EI110" s="9"/>
      <c r="EJ110" s="9"/>
      <c r="EK110" s="9"/>
      <c r="EL110" s="9"/>
      <c r="EM110" s="9"/>
      <c r="EN110" s="9"/>
      <c r="EO110" s="9"/>
      <c r="EP110" s="9"/>
      <c r="EQ110" s="9"/>
      <c r="ER110" s="9"/>
      <c r="ES110" s="9"/>
      <c r="ET110" s="9"/>
      <c r="EU110" s="9"/>
      <c r="EV110" s="9"/>
      <c r="EW110" s="9"/>
      <c r="EX110" s="9"/>
      <c r="EY110" s="9"/>
      <c r="EZ110" s="9"/>
      <c r="FA110" s="9"/>
      <c r="FB110" s="9"/>
      <c r="FC110" s="9"/>
      <c r="FD110" s="9"/>
      <c r="FE110" s="9"/>
      <c r="FF110" s="9"/>
      <c r="FG110" s="9"/>
      <c r="FH110" s="9"/>
      <c r="FI110" s="9"/>
    </row>
    <row r="111" spans="1:165" x14ac:dyDescent="0.2">
      <c r="A111" s="1" t="s">
        <v>629</v>
      </c>
      <c r="B111" s="1" t="s">
        <v>630</v>
      </c>
      <c r="C111" s="1" t="s">
        <v>341</v>
      </c>
      <c r="D111" s="1" t="str">
        <f>HYPERLINK("http://eros.fiehnlab.ucdavis.edu:8080/binbase-compound/bin/show/241385?db=rtx5","241385")</f>
        <v>241385</v>
      </c>
      <c r="E111" s="1" t="s">
        <v>631</v>
      </c>
      <c r="F111" s="1" t="str">
        <f>HYPERLINK("http://www.genome.ad.jp/dbget-bin/www_bget?compound+C00041","C00041")</f>
        <v>C00041</v>
      </c>
      <c r="G111" s="1" t="str">
        <f>HYPERLINK("http://pubchem.ncbi.nlm.nih.gov/summary/summary.cgi?cid=5950","5950")</f>
        <v>5950</v>
      </c>
      <c r="H111" s="1"/>
      <c r="I111" s="8">
        <v>93150</v>
      </c>
      <c r="J111" s="8">
        <v>105875</v>
      </c>
      <c r="K111" s="8">
        <v>76728</v>
      </c>
      <c r="L111" s="8">
        <v>79271</v>
      </c>
      <c r="M111" s="8">
        <v>90877</v>
      </c>
      <c r="N111" s="8">
        <v>96591</v>
      </c>
      <c r="O111" s="8">
        <v>88357</v>
      </c>
      <c r="P111" s="8">
        <v>101136</v>
      </c>
      <c r="Q111" s="8">
        <v>97575</v>
      </c>
      <c r="R111" s="8">
        <v>82796</v>
      </c>
      <c r="S111" s="8">
        <v>83607</v>
      </c>
      <c r="T111" s="8">
        <v>95220</v>
      </c>
      <c r="U111" s="8">
        <v>100283</v>
      </c>
      <c r="V111" s="8">
        <v>114498</v>
      </c>
      <c r="W111" s="8">
        <v>183543</v>
      </c>
      <c r="X111" s="8">
        <v>115426</v>
      </c>
      <c r="Y111" s="8">
        <v>108547</v>
      </c>
      <c r="Z111" s="8">
        <v>100339</v>
      </c>
      <c r="AA111" s="8">
        <v>245644</v>
      </c>
      <c r="AB111" s="8">
        <v>352405</v>
      </c>
      <c r="AC111" s="8">
        <v>328305</v>
      </c>
      <c r="AD111" s="8">
        <v>321243</v>
      </c>
      <c r="AE111" s="8">
        <v>367840</v>
      </c>
      <c r="AF111" s="8">
        <v>258629</v>
      </c>
      <c r="AG111" s="8">
        <v>222357</v>
      </c>
      <c r="AH111" s="8">
        <v>200259</v>
      </c>
      <c r="AI111" s="8">
        <v>215945</v>
      </c>
      <c r="AJ111" s="8">
        <v>254904</v>
      </c>
      <c r="AK111" s="8">
        <v>196553</v>
      </c>
      <c r="AL111" s="8">
        <v>85269</v>
      </c>
      <c r="AM111" s="8">
        <v>97099</v>
      </c>
      <c r="AN111" s="8">
        <v>84556</v>
      </c>
      <c r="AO111" s="8">
        <v>77694</v>
      </c>
      <c r="AP111" s="8">
        <v>73542</v>
      </c>
      <c r="AQ111" s="8">
        <v>76357</v>
      </c>
      <c r="AR111" s="8">
        <v>65442</v>
      </c>
      <c r="AS111" s="8">
        <v>123375</v>
      </c>
      <c r="AT111" s="8">
        <v>116132</v>
      </c>
      <c r="AU111" s="8">
        <v>121298</v>
      </c>
      <c r="AV111" s="8">
        <v>117505</v>
      </c>
      <c r="AW111" s="8">
        <v>115306</v>
      </c>
      <c r="AX111" s="8">
        <v>113528</v>
      </c>
      <c r="AY111" s="8">
        <v>268647</v>
      </c>
      <c r="AZ111" s="8">
        <v>259390</v>
      </c>
      <c r="BA111" s="8">
        <v>277275</v>
      </c>
      <c r="BB111" s="8">
        <v>287986</v>
      </c>
      <c r="BC111" s="8">
        <v>289999</v>
      </c>
      <c r="BD111" s="8">
        <v>251833</v>
      </c>
      <c r="BE111" s="8">
        <v>227411</v>
      </c>
      <c r="BF111" s="8">
        <v>194059</v>
      </c>
      <c r="BG111" s="8">
        <v>235675</v>
      </c>
      <c r="BH111" s="8">
        <v>210124</v>
      </c>
      <c r="BI111" s="8">
        <v>239054</v>
      </c>
      <c r="BJ111" s="8">
        <v>212217</v>
      </c>
      <c r="BK111" s="8">
        <v>88695</v>
      </c>
      <c r="BL111" s="8">
        <v>84305</v>
      </c>
      <c r="BM111" s="8">
        <v>92933</v>
      </c>
      <c r="BN111" s="8">
        <v>81425</v>
      </c>
      <c r="BO111" s="8">
        <v>93850</v>
      </c>
      <c r="BP111" s="8">
        <v>90030</v>
      </c>
      <c r="BQ111" s="8">
        <v>133613</v>
      </c>
      <c r="BR111" s="8">
        <v>126889</v>
      </c>
      <c r="BS111" s="8">
        <v>129277</v>
      </c>
      <c r="BT111" s="8">
        <v>105086</v>
      </c>
      <c r="BU111" s="8">
        <v>116070</v>
      </c>
      <c r="BV111" s="8">
        <v>100715</v>
      </c>
      <c r="BW111" s="8">
        <v>382394</v>
      </c>
      <c r="BX111" s="8">
        <v>339198</v>
      </c>
      <c r="BY111" s="8">
        <v>327277</v>
      </c>
      <c r="BZ111" s="8">
        <v>360522</v>
      </c>
      <c r="CA111" s="8">
        <v>359445</v>
      </c>
      <c r="CB111" s="8">
        <v>251189</v>
      </c>
      <c r="CC111" s="8">
        <v>182827</v>
      </c>
      <c r="CD111" s="8">
        <v>204594</v>
      </c>
      <c r="CE111" s="8">
        <v>213569</v>
      </c>
      <c r="CF111" s="8">
        <v>218564</v>
      </c>
      <c r="CG111" s="8">
        <v>258029</v>
      </c>
      <c r="CH111" s="8">
        <v>212158</v>
      </c>
      <c r="CJ111" s="9"/>
      <c r="CK111" s="9"/>
      <c r="CL111" s="9"/>
      <c r="CM111" s="9"/>
      <c r="CN111" s="9"/>
      <c r="CO111" s="9"/>
      <c r="CP111" s="9"/>
      <c r="CQ111" s="9"/>
      <c r="CR111" s="9"/>
      <c r="CS111" s="9"/>
      <c r="CT111" s="9"/>
      <c r="CU111" s="9"/>
      <c r="CV111" s="9"/>
      <c r="CW111" s="9"/>
      <c r="CX111" s="9"/>
      <c r="CY111" s="9"/>
      <c r="CZ111" s="9"/>
      <c r="DA111" s="9"/>
      <c r="DB111" s="9"/>
      <c r="DC111" s="9"/>
      <c r="DD111" s="9"/>
      <c r="DE111" s="9"/>
      <c r="DF111" s="9"/>
      <c r="DG111" s="9"/>
      <c r="DH111" s="9"/>
      <c r="DI111" s="9"/>
      <c r="DJ111" s="9"/>
      <c r="DK111" s="9"/>
      <c r="DL111" s="9"/>
      <c r="DM111" s="9"/>
      <c r="DN111" s="9"/>
      <c r="DO111" s="9"/>
      <c r="DP111" s="9"/>
      <c r="DQ111" s="9"/>
      <c r="DR111" s="9"/>
      <c r="DS111" s="9"/>
      <c r="DT111" s="9"/>
      <c r="DU111" s="9"/>
      <c r="DV111" s="9"/>
      <c r="DW111" s="9"/>
      <c r="DX111" s="9"/>
      <c r="DY111" s="9"/>
      <c r="DZ111" s="9"/>
      <c r="EA111" s="9"/>
      <c r="EB111" s="9"/>
      <c r="EC111" s="9"/>
      <c r="ED111" s="9"/>
      <c r="EE111" s="9"/>
      <c r="EF111" s="9"/>
      <c r="EG111" s="9"/>
      <c r="EH111" s="9"/>
      <c r="EI111" s="9"/>
      <c r="EJ111" s="9"/>
      <c r="EK111" s="9"/>
      <c r="EL111" s="9"/>
      <c r="EM111" s="9"/>
      <c r="EN111" s="9"/>
      <c r="EO111" s="9"/>
      <c r="EP111" s="9"/>
      <c r="EQ111" s="9"/>
      <c r="ER111" s="9"/>
      <c r="ES111" s="9"/>
      <c r="ET111" s="9"/>
      <c r="EU111" s="9"/>
      <c r="EV111" s="9"/>
      <c r="EW111" s="9"/>
      <c r="EX111" s="9"/>
      <c r="EY111" s="9"/>
      <c r="EZ111" s="9"/>
      <c r="FA111" s="9"/>
      <c r="FB111" s="9"/>
      <c r="FC111" s="9"/>
      <c r="FD111" s="9"/>
      <c r="FE111" s="9"/>
      <c r="FF111" s="9"/>
      <c r="FG111" s="9"/>
      <c r="FH111" s="9"/>
      <c r="FI111" s="9"/>
    </row>
    <row r="112" spans="1:165" x14ac:dyDescent="0.2">
      <c r="A112" s="1" t="s">
        <v>633</v>
      </c>
      <c r="B112" s="1" t="s">
        <v>634</v>
      </c>
      <c r="C112" s="1" t="s">
        <v>635</v>
      </c>
      <c r="D112" s="1" t="str">
        <f>HYPERLINK("http://eros.fiehnlab.ucdavis.edu:8080/binbase-compound/bin/show/211944?db=rtx5","211944")</f>
        <v>211944</v>
      </c>
      <c r="E112" s="1" t="s">
        <v>636</v>
      </c>
      <c r="F112" s="1" t="str">
        <f>HYPERLINK("http://www.genome.ad.jp/dbget-bin/www_bget?compound+C00212","C00212")</f>
        <v>C00212</v>
      </c>
      <c r="G112" s="1" t="str">
        <f>HYPERLINK("http://pubchem.ncbi.nlm.nih.gov/summary/summary.cgi?cid=60961","60961")</f>
        <v>60961</v>
      </c>
      <c r="H112" s="1"/>
      <c r="I112" s="8">
        <v>243</v>
      </c>
      <c r="J112" s="8">
        <v>251</v>
      </c>
      <c r="K112" s="8">
        <v>228</v>
      </c>
      <c r="L112" s="8">
        <v>211</v>
      </c>
      <c r="M112" s="8">
        <v>879</v>
      </c>
      <c r="N112" s="8">
        <v>916</v>
      </c>
      <c r="O112" s="8">
        <v>246</v>
      </c>
      <c r="P112" s="8">
        <v>264</v>
      </c>
      <c r="Q112" s="8">
        <v>990</v>
      </c>
      <c r="R112" s="8">
        <v>219</v>
      </c>
      <c r="S112" s="8">
        <v>942</v>
      </c>
      <c r="T112" s="8">
        <v>781</v>
      </c>
      <c r="U112" s="8">
        <v>216</v>
      </c>
      <c r="V112" s="8">
        <v>194</v>
      </c>
      <c r="W112" s="8">
        <v>218</v>
      </c>
      <c r="X112" s="8">
        <v>986</v>
      </c>
      <c r="Y112" s="8">
        <v>746</v>
      </c>
      <c r="Z112" s="8">
        <v>785</v>
      </c>
      <c r="AA112" s="8">
        <v>152</v>
      </c>
      <c r="AB112" s="8">
        <v>178</v>
      </c>
      <c r="AC112" s="8">
        <v>194</v>
      </c>
      <c r="AD112" s="8">
        <v>265</v>
      </c>
      <c r="AE112" s="8">
        <v>342</v>
      </c>
      <c r="AF112" s="8">
        <v>614</v>
      </c>
      <c r="AG112" s="8">
        <v>234</v>
      </c>
      <c r="AH112" s="8">
        <v>184</v>
      </c>
      <c r="AI112" s="8">
        <v>282</v>
      </c>
      <c r="AJ112" s="8">
        <v>337</v>
      </c>
      <c r="AK112" s="8">
        <v>672</v>
      </c>
      <c r="AL112" s="8">
        <v>1000</v>
      </c>
      <c r="AM112" s="8">
        <v>245</v>
      </c>
      <c r="AN112" s="8">
        <v>262</v>
      </c>
      <c r="AO112" s="8">
        <v>287</v>
      </c>
      <c r="AP112" s="8">
        <v>185</v>
      </c>
      <c r="AQ112" s="8">
        <v>975</v>
      </c>
      <c r="AR112" s="8">
        <v>780</v>
      </c>
      <c r="AS112" s="8">
        <v>226</v>
      </c>
      <c r="AT112" s="8">
        <v>309</v>
      </c>
      <c r="AU112" s="8">
        <v>218</v>
      </c>
      <c r="AV112" s="8">
        <v>243</v>
      </c>
      <c r="AW112" s="8">
        <v>234</v>
      </c>
      <c r="AX112" s="8">
        <v>724</v>
      </c>
      <c r="AY112" s="8">
        <v>325</v>
      </c>
      <c r="AZ112" s="8">
        <v>293</v>
      </c>
      <c r="BA112" s="8">
        <v>904</v>
      </c>
      <c r="BB112" s="8">
        <v>1057</v>
      </c>
      <c r="BC112" s="8">
        <v>977</v>
      </c>
      <c r="BD112" s="8">
        <v>953</v>
      </c>
      <c r="BE112" s="8">
        <v>255</v>
      </c>
      <c r="BF112" s="8">
        <v>283</v>
      </c>
      <c r="BG112" s="8">
        <v>313</v>
      </c>
      <c r="BH112" s="8">
        <v>124</v>
      </c>
      <c r="BI112" s="8">
        <v>682</v>
      </c>
      <c r="BJ112" s="8">
        <v>765</v>
      </c>
      <c r="BK112" s="8">
        <v>323</v>
      </c>
      <c r="BL112" s="8">
        <v>252</v>
      </c>
      <c r="BM112" s="8">
        <v>300</v>
      </c>
      <c r="BN112" s="8">
        <v>183</v>
      </c>
      <c r="BO112" s="8">
        <v>260</v>
      </c>
      <c r="BP112" s="8">
        <v>249</v>
      </c>
      <c r="BQ112" s="8">
        <v>354</v>
      </c>
      <c r="BR112" s="8">
        <v>237</v>
      </c>
      <c r="BS112" s="8">
        <v>293</v>
      </c>
      <c r="BT112" s="8">
        <v>838</v>
      </c>
      <c r="BU112" s="8">
        <v>811</v>
      </c>
      <c r="BV112" s="8">
        <v>821</v>
      </c>
      <c r="BW112" s="8">
        <v>298</v>
      </c>
      <c r="BX112" s="8">
        <v>306</v>
      </c>
      <c r="BY112" s="8">
        <v>279</v>
      </c>
      <c r="BZ112" s="8">
        <v>237</v>
      </c>
      <c r="CA112" s="8">
        <v>971</v>
      </c>
      <c r="CB112" s="8">
        <v>590</v>
      </c>
      <c r="CC112" s="8">
        <v>222</v>
      </c>
      <c r="CD112" s="8">
        <v>152</v>
      </c>
      <c r="CE112" s="8">
        <v>286</v>
      </c>
      <c r="CF112" s="8">
        <v>217</v>
      </c>
      <c r="CG112" s="8">
        <v>297</v>
      </c>
      <c r="CH112" s="8">
        <v>698</v>
      </c>
      <c r="CJ112" s="9"/>
      <c r="CK112" s="9"/>
      <c r="CL112" s="9"/>
      <c r="CM112" s="9"/>
      <c r="CN112" s="9"/>
      <c r="CO112" s="9"/>
      <c r="CP112" s="9"/>
      <c r="CQ112" s="9"/>
      <c r="CR112" s="9"/>
      <c r="CS112" s="9"/>
      <c r="CT112" s="9"/>
      <c r="CU112" s="9"/>
      <c r="CV112" s="9"/>
      <c r="CW112" s="9"/>
      <c r="CX112" s="9"/>
      <c r="CY112" s="9"/>
      <c r="CZ112" s="9"/>
      <c r="DA112" s="9"/>
      <c r="DB112" s="9"/>
      <c r="DC112" s="9"/>
      <c r="DD112" s="9"/>
      <c r="DE112" s="9"/>
      <c r="DF112" s="9"/>
      <c r="DG112" s="9"/>
      <c r="DH112" s="9"/>
      <c r="DI112" s="9"/>
      <c r="DJ112" s="9"/>
      <c r="DK112" s="9"/>
      <c r="DL112" s="9"/>
      <c r="DM112" s="9"/>
      <c r="DN112" s="9"/>
      <c r="DO112" s="9"/>
      <c r="DP112" s="9"/>
      <c r="DQ112" s="9"/>
      <c r="DR112" s="9"/>
      <c r="DS112" s="9"/>
      <c r="DT112" s="9"/>
      <c r="DU112" s="9"/>
      <c r="DV112" s="9"/>
      <c r="DW112" s="9"/>
      <c r="DX112" s="9"/>
      <c r="DY112" s="9"/>
      <c r="DZ112" s="9"/>
      <c r="EA112" s="9"/>
      <c r="EB112" s="9"/>
      <c r="EC112" s="9"/>
      <c r="ED112" s="9"/>
      <c r="EE112" s="9"/>
      <c r="EF112" s="9"/>
      <c r="EG112" s="9"/>
      <c r="EH112" s="9"/>
      <c r="EI112" s="9"/>
      <c r="EJ112" s="9"/>
      <c r="EK112" s="9"/>
      <c r="EL112" s="9"/>
      <c r="EM112" s="9"/>
      <c r="EN112" s="9"/>
      <c r="EO112" s="9"/>
      <c r="EP112" s="9"/>
      <c r="EQ112" s="9"/>
      <c r="ER112" s="9"/>
      <c r="ES112" s="9"/>
      <c r="ET112" s="9"/>
      <c r="EU112" s="9"/>
      <c r="EV112" s="9"/>
      <c r="EW112" s="9"/>
      <c r="EX112" s="9"/>
      <c r="EY112" s="9"/>
      <c r="EZ112" s="9"/>
      <c r="FA112" s="9"/>
      <c r="FB112" s="9"/>
      <c r="FC112" s="9"/>
      <c r="FD112" s="9"/>
      <c r="FE112" s="9"/>
      <c r="FF112" s="9"/>
      <c r="FG112" s="9"/>
      <c r="FH112" s="9"/>
      <c r="FI112" s="9"/>
    </row>
    <row r="113" spans="1:165" x14ac:dyDescent="0.2">
      <c r="A113" s="1" t="s">
        <v>637</v>
      </c>
      <c r="B113" s="1" t="s">
        <v>638</v>
      </c>
      <c r="C113" s="1" t="s">
        <v>639</v>
      </c>
      <c r="D113" s="1" t="str">
        <f>HYPERLINK("http://eros.fiehnlab.ucdavis.edu:8080/binbase-compound/bin/show/307666?db=rtx5","307666")</f>
        <v>307666</v>
      </c>
      <c r="E113" s="1" t="s">
        <v>640</v>
      </c>
      <c r="F113" s="1" t="str">
        <f>HYPERLINK("http://www.genome.ad.jp/dbget-bin/www_bget?compound+C00147","C00147")</f>
        <v>C00147</v>
      </c>
      <c r="G113" s="1" t="str">
        <f>HYPERLINK("http://pubchem.ncbi.nlm.nih.gov/summary/summary.cgi?cid=190","190")</f>
        <v>190</v>
      </c>
      <c r="H113" s="1"/>
      <c r="I113" s="8">
        <v>1439</v>
      </c>
      <c r="J113" s="8">
        <v>1466</v>
      </c>
      <c r="K113" s="8">
        <v>1206</v>
      </c>
      <c r="L113" s="8">
        <v>1255</v>
      </c>
      <c r="M113" s="8">
        <v>1120</v>
      </c>
      <c r="N113" s="8">
        <v>1416</v>
      </c>
      <c r="O113" s="8">
        <v>1626</v>
      </c>
      <c r="P113" s="8">
        <v>1992</v>
      </c>
      <c r="Q113" s="8">
        <v>1686</v>
      </c>
      <c r="R113" s="8">
        <v>1539</v>
      </c>
      <c r="S113" s="8">
        <v>1976</v>
      </c>
      <c r="T113" s="8">
        <v>1061</v>
      </c>
      <c r="U113" s="8">
        <v>931</v>
      </c>
      <c r="V113" s="8">
        <v>1064</v>
      </c>
      <c r="W113" s="8">
        <v>658</v>
      </c>
      <c r="X113" s="8">
        <v>1403</v>
      </c>
      <c r="Y113" s="8">
        <v>1207</v>
      </c>
      <c r="Z113" s="8">
        <v>1289</v>
      </c>
      <c r="AA113" s="8">
        <v>1203</v>
      </c>
      <c r="AB113" s="8">
        <v>1902</v>
      </c>
      <c r="AC113" s="8">
        <v>2354</v>
      </c>
      <c r="AD113" s="8">
        <v>1676</v>
      </c>
      <c r="AE113" s="8">
        <v>1863</v>
      </c>
      <c r="AF113" s="8">
        <v>1458</v>
      </c>
      <c r="AG113" s="8">
        <v>635</v>
      </c>
      <c r="AH113" s="8">
        <v>483</v>
      </c>
      <c r="AI113" s="8">
        <v>643</v>
      </c>
      <c r="AJ113" s="8">
        <v>979</v>
      </c>
      <c r="AK113" s="8">
        <v>717</v>
      </c>
      <c r="AL113" s="8">
        <v>1764</v>
      </c>
      <c r="AM113" s="8">
        <v>2396</v>
      </c>
      <c r="AN113" s="8">
        <v>1604</v>
      </c>
      <c r="AO113" s="8">
        <v>2470</v>
      </c>
      <c r="AP113" s="8">
        <v>2121</v>
      </c>
      <c r="AQ113" s="8">
        <v>1952</v>
      </c>
      <c r="AR113" s="8">
        <v>1480</v>
      </c>
      <c r="AS113" s="8">
        <v>1551</v>
      </c>
      <c r="AT113" s="8">
        <v>1771</v>
      </c>
      <c r="AU113" s="8">
        <v>1530</v>
      </c>
      <c r="AV113" s="8">
        <v>1412</v>
      </c>
      <c r="AW113" s="8">
        <v>1513</v>
      </c>
      <c r="AX113" s="8">
        <v>1422</v>
      </c>
      <c r="AY113" s="8">
        <v>2316</v>
      </c>
      <c r="AZ113" s="8">
        <v>2384</v>
      </c>
      <c r="BA113" s="8">
        <v>2133</v>
      </c>
      <c r="BB113" s="8">
        <v>2096</v>
      </c>
      <c r="BC113" s="8">
        <v>1894</v>
      </c>
      <c r="BD113" s="8">
        <v>2267</v>
      </c>
      <c r="BE113" s="8">
        <v>706</v>
      </c>
      <c r="BF113" s="8">
        <v>729</v>
      </c>
      <c r="BG113" s="8">
        <v>790</v>
      </c>
      <c r="BH113" s="8">
        <v>560</v>
      </c>
      <c r="BI113" s="8">
        <v>682</v>
      </c>
      <c r="BJ113" s="8">
        <v>539</v>
      </c>
      <c r="BK113" s="8">
        <v>1946</v>
      </c>
      <c r="BL113" s="8">
        <v>1848</v>
      </c>
      <c r="BM113" s="8">
        <v>1758</v>
      </c>
      <c r="BN113" s="8">
        <v>1240</v>
      </c>
      <c r="BO113" s="8">
        <v>1428</v>
      </c>
      <c r="BP113" s="8">
        <v>1376</v>
      </c>
      <c r="BQ113" s="8">
        <v>1010</v>
      </c>
      <c r="BR113" s="8">
        <v>1154</v>
      </c>
      <c r="BS113" s="8">
        <v>1472</v>
      </c>
      <c r="BT113" s="8">
        <v>916</v>
      </c>
      <c r="BU113" s="8">
        <v>1043</v>
      </c>
      <c r="BV113" s="8">
        <v>1181</v>
      </c>
      <c r="BW113" s="8">
        <v>1643</v>
      </c>
      <c r="BX113" s="8">
        <v>1887</v>
      </c>
      <c r="BY113" s="8">
        <v>1686</v>
      </c>
      <c r="BZ113" s="8">
        <v>1495</v>
      </c>
      <c r="CA113" s="8">
        <v>1694</v>
      </c>
      <c r="CB113" s="8">
        <v>1493</v>
      </c>
      <c r="CC113" s="8">
        <v>827</v>
      </c>
      <c r="CD113" s="8">
        <v>845</v>
      </c>
      <c r="CE113" s="8">
        <v>963</v>
      </c>
      <c r="CF113" s="8">
        <v>674</v>
      </c>
      <c r="CG113" s="8">
        <v>892</v>
      </c>
      <c r="CH113" s="8">
        <v>727</v>
      </c>
      <c r="CJ113" s="9"/>
      <c r="CK113" s="9"/>
      <c r="CL113" s="9"/>
      <c r="CM113" s="9"/>
      <c r="CN113" s="9"/>
      <c r="CO113" s="9"/>
      <c r="CP113" s="9"/>
      <c r="CQ113" s="9"/>
      <c r="CR113" s="9"/>
      <c r="CS113" s="9"/>
      <c r="CT113" s="9"/>
      <c r="CU113" s="9"/>
      <c r="CV113" s="9"/>
      <c r="CW113" s="9"/>
      <c r="CX113" s="9"/>
      <c r="CY113" s="9"/>
      <c r="CZ113" s="9"/>
      <c r="DA113" s="9"/>
      <c r="DB113" s="9"/>
      <c r="DC113" s="9"/>
      <c r="DD113" s="9"/>
      <c r="DE113" s="9"/>
      <c r="DF113" s="9"/>
      <c r="DG113" s="9"/>
      <c r="DH113" s="9"/>
      <c r="DI113" s="9"/>
      <c r="DJ113" s="9"/>
      <c r="DK113" s="9"/>
      <c r="DL113" s="9"/>
      <c r="DM113" s="9"/>
      <c r="DN113" s="9"/>
      <c r="DO113" s="9"/>
      <c r="DP113" s="9"/>
      <c r="DQ113" s="9"/>
      <c r="DR113" s="9"/>
      <c r="DS113" s="9"/>
      <c r="DT113" s="9"/>
      <c r="DU113" s="9"/>
      <c r="DV113" s="9"/>
      <c r="DW113" s="9"/>
      <c r="DX113" s="9"/>
      <c r="DY113" s="9"/>
      <c r="DZ113" s="9"/>
      <c r="EA113" s="9"/>
      <c r="EB113" s="9"/>
      <c r="EC113" s="9"/>
      <c r="ED113" s="9"/>
      <c r="EE113" s="9"/>
      <c r="EF113" s="9"/>
      <c r="EG113" s="9"/>
      <c r="EH113" s="9"/>
      <c r="EI113" s="9"/>
      <c r="EJ113" s="9"/>
      <c r="EK113" s="9"/>
      <c r="EL113" s="9"/>
      <c r="EM113" s="9"/>
      <c r="EN113" s="9"/>
      <c r="EO113" s="9"/>
      <c r="EP113" s="9"/>
      <c r="EQ113" s="9"/>
      <c r="ER113" s="9"/>
      <c r="ES113" s="9"/>
      <c r="ET113" s="9"/>
      <c r="EU113" s="9"/>
      <c r="EV113" s="9"/>
      <c r="EW113" s="9"/>
      <c r="EX113" s="9"/>
      <c r="EY113" s="9"/>
      <c r="EZ113" s="9"/>
      <c r="FA113" s="9"/>
      <c r="FB113" s="9"/>
      <c r="FC113" s="9"/>
      <c r="FD113" s="9"/>
      <c r="FE113" s="9"/>
      <c r="FF113" s="9"/>
      <c r="FG113" s="9"/>
      <c r="FH113" s="9"/>
      <c r="FI113" s="9"/>
    </row>
    <row r="114" spans="1:165" x14ac:dyDescent="0.2">
      <c r="A114" s="1" t="s">
        <v>641</v>
      </c>
      <c r="B114" s="1" t="s">
        <v>642</v>
      </c>
      <c r="C114" s="1" t="s">
        <v>304</v>
      </c>
      <c r="D114" s="1" t="str">
        <f>HYPERLINK("http://eros.fiehnlab.ucdavis.edu:8080/binbase-compound/bin/show/200501?db=rtx5","200501")</f>
        <v>200501</v>
      </c>
      <c r="E114" s="1" t="s">
        <v>643</v>
      </c>
      <c r="F114" s="1" t="str">
        <f>HYPERLINK("http://www.genome.ad.jp/dbget-bin/www_bget?compound+n/a","n/a")</f>
        <v>n/a</v>
      </c>
      <c r="G114" s="1" t="str">
        <f>HYPERLINK("http://pubchem.ncbi.nlm.nih.gov/summary/summary.cgi?cid=151266","151266")</f>
        <v>151266</v>
      </c>
      <c r="H114" s="1"/>
      <c r="I114" s="8">
        <v>1963</v>
      </c>
      <c r="J114" s="8">
        <v>1088</v>
      </c>
      <c r="K114" s="8">
        <v>1557</v>
      </c>
      <c r="L114" s="8">
        <v>1804</v>
      </c>
      <c r="M114" s="8">
        <v>2032</v>
      </c>
      <c r="N114" s="8">
        <v>1376</v>
      </c>
      <c r="O114" s="8">
        <v>1098</v>
      </c>
      <c r="P114" s="8">
        <v>2335</v>
      </c>
      <c r="Q114" s="8">
        <v>2040</v>
      </c>
      <c r="R114" s="8">
        <v>1357</v>
      </c>
      <c r="S114" s="8">
        <v>1954</v>
      </c>
      <c r="T114" s="8">
        <v>2007</v>
      </c>
      <c r="U114" s="8">
        <v>1452</v>
      </c>
      <c r="V114" s="8">
        <v>1434</v>
      </c>
      <c r="W114" s="8">
        <v>1072</v>
      </c>
      <c r="X114" s="8">
        <v>1835</v>
      </c>
      <c r="Y114" s="8">
        <v>2113</v>
      </c>
      <c r="Z114" s="8">
        <v>1379</v>
      </c>
      <c r="AA114" s="8">
        <v>1020</v>
      </c>
      <c r="AB114" s="8">
        <v>1178</v>
      </c>
      <c r="AC114" s="8">
        <v>1359</v>
      </c>
      <c r="AD114" s="8">
        <v>1568</v>
      </c>
      <c r="AE114" s="8">
        <v>2078</v>
      </c>
      <c r="AF114" s="8">
        <v>1092</v>
      </c>
      <c r="AG114" s="8">
        <v>1183</v>
      </c>
      <c r="AH114" s="8">
        <v>1472</v>
      </c>
      <c r="AI114" s="8">
        <v>1767</v>
      </c>
      <c r="AJ114" s="8">
        <v>8004</v>
      </c>
      <c r="AK114" s="8">
        <v>1078</v>
      </c>
      <c r="AL114" s="8">
        <v>2125</v>
      </c>
      <c r="AM114" s="8">
        <v>1824</v>
      </c>
      <c r="AN114" s="8">
        <v>1708</v>
      </c>
      <c r="AO114" s="8">
        <v>2520</v>
      </c>
      <c r="AP114" s="8">
        <v>1734</v>
      </c>
      <c r="AQ114" s="8">
        <v>2063</v>
      </c>
      <c r="AR114" s="8">
        <v>1012</v>
      </c>
      <c r="AS114" s="8">
        <v>1813</v>
      </c>
      <c r="AT114" s="8">
        <v>1373</v>
      </c>
      <c r="AU114" s="8">
        <v>863</v>
      </c>
      <c r="AV114" s="8">
        <v>1291</v>
      </c>
      <c r="AW114" s="8">
        <v>2127</v>
      </c>
      <c r="AX114" s="8">
        <v>1023</v>
      </c>
      <c r="AY114" s="8">
        <v>2131</v>
      </c>
      <c r="AZ114" s="8">
        <v>1650</v>
      </c>
      <c r="BA114" s="8">
        <v>2347</v>
      </c>
      <c r="BB114" s="8">
        <v>1946</v>
      </c>
      <c r="BC114" s="8">
        <v>2521</v>
      </c>
      <c r="BD114" s="8">
        <v>1733</v>
      </c>
      <c r="BE114" s="8">
        <v>1496</v>
      </c>
      <c r="BF114" s="8">
        <v>4408</v>
      </c>
      <c r="BG114" s="8">
        <v>2901</v>
      </c>
      <c r="BH114" s="8">
        <v>1224</v>
      </c>
      <c r="BI114" s="8">
        <v>1863</v>
      </c>
      <c r="BJ114" s="8">
        <v>1437</v>
      </c>
      <c r="BK114" s="8">
        <v>961</v>
      </c>
      <c r="BL114" s="8">
        <v>1555</v>
      </c>
      <c r="BM114" s="8">
        <v>1826</v>
      </c>
      <c r="BN114" s="8">
        <v>616</v>
      </c>
      <c r="BO114" s="8">
        <v>2101</v>
      </c>
      <c r="BP114" s="8">
        <v>1713</v>
      </c>
      <c r="BQ114" s="8">
        <v>845</v>
      </c>
      <c r="BR114" s="8">
        <v>1501</v>
      </c>
      <c r="BS114" s="8">
        <v>1454</v>
      </c>
      <c r="BT114" s="8">
        <v>1278</v>
      </c>
      <c r="BU114" s="8">
        <v>1134</v>
      </c>
      <c r="BV114" s="8">
        <v>1339</v>
      </c>
      <c r="BW114" s="8">
        <v>1526</v>
      </c>
      <c r="BX114" s="8">
        <v>1684</v>
      </c>
      <c r="BY114" s="8">
        <v>1173</v>
      </c>
      <c r="BZ114" s="8">
        <v>1499</v>
      </c>
      <c r="CA114" s="8">
        <v>1658</v>
      </c>
      <c r="CB114" s="8">
        <v>1705</v>
      </c>
      <c r="CC114" s="8">
        <v>1291</v>
      </c>
      <c r="CD114" s="8">
        <v>1358</v>
      </c>
      <c r="CE114" s="8">
        <v>1333</v>
      </c>
      <c r="CF114" s="8">
        <v>1345</v>
      </c>
      <c r="CG114" s="8">
        <v>1721</v>
      </c>
      <c r="CH114" s="8">
        <v>1822</v>
      </c>
      <c r="CJ114" s="9"/>
      <c r="CK114" s="9"/>
      <c r="CL114" s="9"/>
      <c r="CM114" s="9"/>
      <c r="CN114" s="9"/>
      <c r="CO114" s="9"/>
      <c r="CP114" s="9"/>
      <c r="CQ114" s="9"/>
      <c r="CR114" s="9"/>
      <c r="CS114" s="9"/>
      <c r="CT114" s="9"/>
      <c r="CU114" s="9"/>
      <c r="CV114" s="9"/>
      <c r="CW114" s="9"/>
      <c r="CX114" s="9"/>
      <c r="CY114" s="9"/>
      <c r="CZ114" s="9"/>
      <c r="DA114" s="9"/>
      <c r="DB114" s="9"/>
      <c r="DC114" s="9"/>
      <c r="DD114" s="9"/>
      <c r="DE114" s="9"/>
      <c r="DF114" s="9"/>
      <c r="DG114" s="9"/>
      <c r="DH114" s="9"/>
      <c r="DI114" s="9"/>
      <c r="DJ114" s="9"/>
      <c r="DK114" s="9"/>
      <c r="DL114" s="9"/>
      <c r="DM114" s="9"/>
      <c r="DN114" s="9"/>
      <c r="DO114" s="9"/>
      <c r="DP114" s="9"/>
      <c r="DQ114" s="9"/>
      <c r="DR114" s="9"/>
      <c r="DS114" s="9"/>
      <c r="DT114" s="9"/>
      <c r="DU114" s="9"/>
      <c r="DV114" s="9"/>
      <c r="DW114" s="9"/>
      <c r="DX114" s="9"/>
      <c r="DY114" s="9"/>
      <c r="DZ114" s="9"/>
      <c r="EA114" s="9"/>
      <c r="EB114" s="9"/>
      <c r="EC114" s="9"/>
      <c r="ED114" s="9"/>
      <c r="EE114" s="9"/>
      <c r="EF114" s="9"/>
      <c r="EG114" s="9"/>
      <c r="EH114" s="9"/>
      <c r="EI114" s="9"/>
      <c r="EJ114" s="9"/>
      <c r="EK114" s="9"/>
      <c r="EL114" s="9"/>
      <c r="EM114" s="9"/>
      <c r="EN114" s="9"/>
      <c r="EO114" s="9"/>
      <c r="EP114" s="9"/>
      <c r="EQ114" s="9"/>
      <c r="ER114" s="9"/>
      <c r="ES114" s="9"/>
      <c r="ET114" s="9"/>
      <c r="EU114" s="9"/>
      <c r="EV114" s="9"/>
      <c r="EW114" s="9"/>
      <c r="EX114" s="9"/>
      <c r="EY114" s="9"/>
      <c r="EZ114" s="9"/>
      <c r="FA114" s="9"/>
      <c r="FB114" s="9"/>
      <c r="FC114" s="9"/>
      <c r="FD114" s="9"/>
      <c r="FE114" s="9"/>
      <c r="FF114" s="9"/>
      <c r="FG114" s="9"/>
      <c r="FH114" s="9"/>
      <c r="FI114" s="9"/>
    </row>
    <row r="115" spans="1:165" x14ac:dyDescent="0.2">
      <c r="A115" s="1" t="s">
        <v>644</v>
      </c>
      <c r="B115" s="1" t="s">
        <v>645</v>
      </c>
      <c r="C115" s="1" t="s">
        <v>635</v>
      </c>
      <c r="D115" s="1" t="str">
        <f>HYPERLINK("http://eros.fiehnlab.ucdavis.edu:8080/binbase-compound/bin/show/213373?db=rtx5","213373")</f>
        <v>213373</v>
      </c>
      <c r="E115" s="1" t="s">
        <v>646</v>
      </c>
      <c r="F115" s="1" t="str">
        <f>HYPERLINK("http://www.genome.ad.jp/dbget-bin/www_bget?compound+C00170","C00170")</f>
        <v>C00170</v>
      </c>
      <c r="G115" s="1" t="str">
        <f>HYPERLINK("http://pubchem.ncbi.nlm.nih.gov/summary/summary.cgi?cid=439176","439176")</f>
        <v>439176</v>
      </c>
      <c r="H115" s="1"/>
      <c r="I115" s="8">
        <v>1048</v>
      </c>
      <c r="J115" s="8">
        <v>965</v>
      </c>
      <c r="K115" s="8">
        <v>1061</v>
      </c>
      <c r="L115" s="8">
        <v>933</v>
      </c>
      <c r="M115" s="8">
        <v>1037</v>
      </c>
      <c r="N115" s="8">
        <v>1054</v>
      </c>
      <c r="O115" s="8">
        <v>1823</v>
      </c>
      <c r="P115" s="8">
        <v>2240</v>
      </c>
      <c r="Q115" s="8">
        <v>2083</v>
      </c>
      <c r="R115" s="8">
        <v>2113</v>
      </c>
      <c r="S115" s="8">
        <v>2232</v>
      </c>
      <c r="T115" s="8">
        <v>1322</v>
      </c>
      <c r="U115" s="8">
        <v>1484</v>
      </c>
      <c r="V115" s="8">
        <v>1769</v>
      </c>
      <c r="W115" s="8">
        <v>619</v>
      </c>
      <c r="X115" s="8">
        <v>1765</v>
      </c>
      <c r="Y115" s="8">
        <v>1550</v>
      </c>
      <c r="Z115" s="8">
        <v>2165</v>
      </c>
      <c r="AA115" s="8">
        <v>2015</v>
      </c>
      <c r="AB115" s="8">
        <v>3201</v>
      </c>
      <c r="AC115" s="8">
        <v>3366</v>
      </c>
      <c r="AD115" s="8">
        <v>2654</v>
      </c>
      <c r="AE115" s="8">
        <v>2839</v>
      </c>
      <c r="AF115" s="8">
        <v>1979</v>
      </c>
      <c r="AG115" s="8">
        <v>1092</v>
      </c>
      <c r="AH115" s="8">
        <v>868</v>
      </c>
      <c r="AI115" s="8">
        <v>951</v>
      </c>
      <c r="AJ115" s="8">
        <v>979</v>
      </c>
      <c r="AK115" s="8">
        <v>780</v>
      </c>
      <c r="AL115" s="8">
        <v>1784</v>
      </c>
      <c r="AM115" s="8">
        <v>2761</v>
      </c>
      <c r="AN115" s="8">
        <v>2254</v>
      </c>
      <c r="AO115" s="8">
        <v>3275</v>
      </c>
      <c r="AP115" s="8">
        <v>2507</v>
      </c>
      <c r="AQ115" s="8">
        <v>2698</v>
      </c>
      <c r="AR115" s="8">
        <v>1926</v>
      </c>
      <c r="AS115" s="8">
        <v>1992</v>
      </c>
      <c r="AT115" s="8">
        <v>1790</v>
      </c>
      <c r="AU115" s="8">
        <v>2150</v>
      </c>
      <c r="AV115" s="8">
        <v>2001</v>
      </c>
      <c r="AW115" s="8">
        <v>1865</v>
      </c>
      <c r="AX115" s="8">
        <v>1958</v>
      </c>
      <c r="AY115" s="8">
        <v>4499</v>
      </c>
      <c r="AZ115" s="8">
        <v>3873</v>
      </c>
      <c r="BA115" s="8">
        <v>4004</v>
      </c>
      <c r="BB115" s="8">
        <v>3278</v>
      </c>
      <c r="BC115" s="8">
        <v>4125</v>
      </c>
      <c r="BD115" s="8">
        <v>3481</v>
      </c>
      <c r="BE115" s="8">
        <v>1011</v>
      </c>
      <c r="BF115" s="8">
        <v>958</v>
      </c>
      <c r="BG115" s="8">
        <v>947</v>
      </c>
      <c r="BH115" s="8">
        <v>725</v>
      </c>
      <c r="BI115" s="8">
        <v>836</v>
      </c>
      <c r="BJ115" s="8">
        <v>948</v>
      </c>
      <c r="BK115" s="8">
        <v>1866</v>
      </c>
      <c r="BL115" s="8">
        <v>2029</v>
      </c>
      <c r="BM115" s="8">
        <v>1524</v>
      </c>
      <c r="BN115" s="8">
        <v>1396</v>
      </c>
      <c r="BO115" s="8">
        <v>1975</v>
      </c>
      <c r="BP115" s="8">
        <v>1617</v>
      </c>
      <c r="BQ115" s="8">
        <v>1477</v>
      </c>
      <c r="BR115" s="8">
        <v>1445</v>
      </c>
      <c r="BS115" s="8">
        <v>1630</v>
      </c>
      <c r="BT115" s="8">
        <v>1248</v>
      </c>
      <c r="BU115" s="8">
        <v>1472</v>
      </c>
      <c r="BV115" s="8">
        <v>1256</v>
      </c>
      <c r="BW115" s="8">
        <v>2030</v>
      </c>
      <c r="BX115" s="8">
        <v>2815</v>
      </c>
      <c r="BY115" s="8">
        <v>1871</v>
      </c>
      <c r="BZ115" s="8">
        <v>2639</v>
      </c>
      <c r="CA115" s="8">
        <v>2619</v>
      </c>
      <c r="CB115" s="8">
        <v>1910</v>
      </c>
      <c r="CC115" s="8">
        <v>735</v>
      </c>
      <c r="CD115" s="8">
        <v>793</v>
      </c>
      <c r="CE115" s="8">
        <v>970</v>
      </c>
      <c r="CF115" s="8">
        <v>757</v>
      </c>
      <c r="CG115" s="8">
        <v>876</v>
      </c>
      <c r="CH115" s="8">
        <v>735</v>
      </c>
      <c r="CJ115" s="9"/>
      <c r="CK115" s="9"/>
      <c r="CL115" s="9"/>
      <c r="CM115" s="9"/>
      <c r="CN115" s="9"/>
      <c r="CO115" s="9"/>
      <c r="CP115" s="9"/>
      <c r="CQ115" s="9"/>
      <c r="CR115" s="9"/>
      <c r="CS115" s="9"/>
      <c r="CT115" s="9"/>
      <c r="CU115" s="9"/>
      <c r="CV115" s="9"/>
      <c r="CW115" s="9"/>
      <c r="CX115" s="9"/>
      <c r="CY115" s="9"/>
      <c r="CZ115" s="9"/>
      <c r="DA115" s="9"/>
      <c r="DB115" s="9"/>
      <c r="DC115" s="9"/>
      <c r="DD115" s="9"/>
      <c r="DE115" s="9"/>
      <c r="DF115" s="9"/>
      <c r="DG115" s="9"/>
      <c r="DH115" s="9"/>
      <c r="DI115" s="9"/>
      <c r="DJ115" s="9"/>
      <c r="DK115" s="9"/>
      <c r="DL115" s="9"/>
      <c r="DM115" s="9"/>
      <c r="DN115" s="9"/>
      <c r="DO115" s="9"/>
      <c r="DP115" s="9"/>
      <c r="DQ115" s="9"/>
      <c r="DR115" s="9"/>
      <c r="DS115" s="9"/>
      <c r="DT115" s="9"/>
      <c r="DU115" s="9"/>
      <c r="DV115" s="9"/>
      <c r="DW115" s="9"/>
      <c r="DX115" s="9"/>
      <c r="DY115" s="9"/>
      <c r="DZ115" s="9"/>
      <c r="EA115" s="9"/>
      <c r="EB115" s="9"/>
      <c r="EC115" s="9"/>
      <c r="ED115" s="9"/>
      <c r="EE115" s="9"/>
      <c r="EF115" s="9"/>
      <c r="EG115" s="9"/>
      <c r="EH115" s="9"/>
      <c r="EI115" s="9"/>
      <c r="EJ115" s="9"/>
      <c r="EK115" s="9"/>
      <c r="EL115" s="9"/>
      <c r="EM115" s="9"/>
      <c r="EN115" s="9"/>
      <c r="EO115" s="9"/>
      <c r="EP115" s="9"/>
      <c r="EQ115" s="9"/>
      <c r="ER115" s="9"/>
      <c r="ES115" s="9"/>
      <c r="ET115" s="9"/>
      <c r="EU115" s="9"/>
      <c r="EV115" s="9"/>
      <c r="EW115" s="9"/>
      <c r="EX115" s="9"/>
      <c r="EY115" s="9"/>
      <c r="EZ115" s="9"/>
      <c r="FA115" s="9"/>
      <c r="FB115" s="9"/>
      <c r="FC115" s="9"/>
      <c r="FD115" s="9"/>
      <c r="FE115" s="9"/>
      <c r="FF115" s="9"/>
      <c r="FG115" s="9"/>
      <c r="FH115" s="9"/>
      <c r="FI115" s="9"/>
    </row>
    <row r="116" spans="1:165" x14ac:dyDescent="0.2">
      <c r="A116" s="1" t="s">
        <v>647</v>
      </c>
      <c r="B116" s="1" t="s">
        <v>648</v>
      </c>
      <c r="C116" s="1" t="s">
        <v>390</v>
      </c>
      <c r="D116" s="1" t="str">
        <f>HYPERLINK("http://eros.fiehnlab.ucdavis.edu:8080/binbase-compound/bin/show/217821?db=rtx5","217821")</f>
        <v>217821</v>
      </c>
      <c r="E116" s="1" t="s">
        <v>649</v>
      </c>
      <c r="F116" s="1" t="str">
        <f>HYPERLINK("http://www.genome.ad.jp/dbget-bin/www_bget?compound+C00197","C00197")</f>
        <v>C00197</v>
      </c>
      <c r="G116" s="1" t="str">
        <f>HYPERLINK("http://pubchem.ncbi.nlm.nih.gov/summary/summary.cgi?cid=724","724")</f>
        <v>724</v>
      </c>
      <c r="H116" s="1"/>
      <c r="I116" s="8">
        <v>242</v>
      </c>
      <c r="J116" s="8">
        <v>278</v>
      </c>
      <c r="K116" s="8">
        <v>346</v>
      </c>
      <c r="L116" s="8">
        <v>179</v>
      </c>
      <c r="M116" s="8">
        <v>198</v>
      </c>
      <c r="N116" s="8">
        <v>281</v>
      </c>
      <c r="O116" s="8">
        <v>746</v>
      </c>
      <c r="P116" s="8">
        <v>778</v>
      </c>
      <c r="Q116" s="8">
        <v>880</v>
      </c>
      <c r="R116" s="8">
        <v>678</v>
      </c>
      <c r="S116" s="8">
        <v>984</v>
      </c>
      <c r="T116" s="8">
        <v>1376</v>
      </c>
      <c r="U116" s="8">
        <v>1223</v>
      </c>
      <c r="V116" s="8">
        <v>1408</v>
      </c>
      <c r="W116" s="8">
        <v>1163</v>
      </c>
      <c r="X116" s="8">
        <v>1344</v>
      </c>
      <c r="Y116" s="8">
        <v>870</v>
      </c>
      <c r="Z116" s="8">
        <v>1242</v>
      </c>
      <c r="AA116" s="8">
        <v>981</v>
      </c>
      <c r="AB116" s="8">
        <v>1560</v>
      </c>
      <c r="AC116" s="8">
        <v>1671</v>
      </c>
      <c r="AD116" s="8">
        <v>1666</v>
      </c>
      <c r="AE116" s="8">
        <v>1156</v>
      </c>
      <c r="AF116" s="8">
        <v>1123</v>
      </c>
      <c r="AG116" s="8">
        <v>1431</v>
      </c>
      <c r="AH116" s="8">
        <v>1586</v>
      </c>
      <c r="AI116" s="8">
        <v>1359</v>
      </c>
      <c r="AJ116" s="8">
        <v>1501</v>
      </c>
      <c r="AK116" s="8">
        <v>1336</v>
      </c>
      <c r="AL116" s="8">
        <v>1069</v>
      </c>
      <c r="AM116" s="8">
        <v>1168</v>
      </c>
      <c r="AN116" s="8">
        <v>889</v>
      </c>
      <c r="AO116" s="8">
        <v>1034</v>
      </c>
      <c r="AP116" s="8">
        <v>808</v>
      </c>
      <c r="AQ116" s="8">
        <v>1005</v>
      </c>
      <c r="AR116" s="8">
        <v>690</v>
      </c>
      <c r="AS116" s="8">
        <v>1362</v>
      </c>
      <c r="AT116" s="8">
        <v>1290</v>
      </c>
      <c r="AU116" s="8">
        <v>1250</v>
      </c>
      <c r="AV116" s="8">
        <v>1281</v>
      </c>
      <c r="AW116" s="8">
        <v>1370</v>
      </c>
      <c r="AX116" s="8">
        <v>1192</v>
      </c>
      <c r="AY116" s="8">
        <v>1419</v>
      </c>
      <c r="AZ116" s="8">
        <v>1444</v>
      </c>
      <c r="BA116" s="8">
        <v>1484</v>
      </c>
      <c r="BB116" s="8">
        <v>1345</v>
      </c>
      <c r="BC116" s="8">
        <v>1094</v>
      </c>
      <c r="BD116" s="8">
        <v>1247</v>
      </c>
      <c r="BE116" s="8">
        <v>1304</v>
      </c>
      <c r="BF116" s="8">
        <v>1549</v>
      </c>
      <c r="BG116" s="8">
        <v>1065</v>
      </c>
      <c r="BH116" s="8">
        <v>1025</v>
      </c>
      <c r="BI116" s="8">
        <v>1096</v>
      </c>
      <c r="BJ116" s="8">
        <v>1193</v>
      </c>
      <c r="BK116" s="8">
        <v>841</v>
      </c>
      <c r="BL116" s="8">
        <v>1221</v>
      </c>
      <c r="BM116" s="8">
        <v>915</v>
      </c>
      <c r="BN116" s="8">
        <v>670</v>
      </c>
      <c r="BO116" s="8">
        <v>737</v>
      </c>
      <c r="BP116" s="8">
        <v>947</v>
      </c>
      <c r="BQ116" s="8">
        <v>825</v>
      </c>
      <c r="BR116" s="8">
        <v>758</v>
      </c>
      <c r="BS116" s="8">
        <v>998</v>
      </c>
      <c r="BT116" s="8">
        <v>905</v>
      </c>
      <c r="BU116" s="8">
        <v>715</v>
      </c>
      <c r="BV116" s="8">
        <v>689</v>
      </c>
      <c r="BW116" s="8">
        <v>603</v>
      </c>
      <c r="BX116" s="8">
        <v>856</v>
      </c>
      <c r="BY116" s="8">
        <v>725</v>
      </c>
      <c r="BZ116" s="8">
        <v>822</v>
      </c>
      <c r="CA116" s="8">
        <v>771</v>
      </c>
      <c r="CB116" s="8">
        <v>533</v>
      </c>
      <c r="CC116" s="8">
        <v>967</v>
      </c>
      <c r="CD116" s="8">
        <v>757</v>
      </c>
      <c r="CE116" s="8">
        <v>827</v>
      </c>
      <c r="CF116" s="8">
        <v>690</v>
      </c>
      <c r="CG116" s="8">
        <v>889</v>
      </c>
      <c r="CH116" s="8">
        <v>841</v>
      </c>
      <c r="CJ116" s="9"/>
      <c r="CK116" s="9"/>
      <c r="CL116" s="9"/>
      <c r="CM116" s="9"/>
      <c r="CN116" s="9"/>
      <c r="CO116" s="9"/>
      <c r="CP116" s="9"/>
      <c r="CQ116" s="9"/>
      <c r="CR116" s="9"/>
      <c r="CS116" s="9"/>
      <c r="CT116" s="9"/>
      <c r="CU116" s="9"/>
      <c r="CV116" s="9"/>
      <c r="CW116" s="9"/>
      <c r="CX116" s="9"/>
      <c r="CY116" s="9"/>
      <c r="CZ116" s="9"/>
      <c r="DA116" s="9"/>
      <c r="DB116" s="9"/>
      <c r="DC116" s="9"/>
      <c r="DD116" s="9"/>
      <c r="DE116" s="9"/>
      <c r="DF116" s="9"/>
      <c r="DG116" s="9"/>
      <c r="DH116" s="9"/>
      <c r="DI116" s="9"/>
      <c r="DJ116" s="9"/>
      <c r="DK116" s="9"/>
      <c r="DL116" s="9"/>
      <c r="DM116" s="9"/>
      <c r="DN116" s="9"/>
      <c r="DO116" s="9"/>
      <c r="DP116" s="9"/>
      <c r="DQ116" s="9"/>
      <c r="DR116" s="9"/>
      <c r="DS116" s="9"/>
      <c r="DT116" s="9"/>
      <c r="DU116" s="9"/>
      <c r="DV116" s="9"/>
      <c r="DW116" s="9"/>
      <c r="DX116" s="9"/>
      <c r="DY116" s="9"/>
      <c r="DZ116" s="9"/>
      <c r="EA116" s="9"/>
      <c r="EB116" s="9"/>
      <c r="EC116" s="9"/>
      <c r="ED116" s="9"/>
      <c r="EE116" s="9"/>
      <c r="EF116" s="9"/>
      <c r="EG116" s="9"/>
      <c r="EH116" s="9"/>
      <c r="EI116" s="9"/>
      <c r="EJ116" s="9"/>
      <c r="EK116" s="9"/>
      <c r="EL116" s="9"/>
      <c r="EM116" s="9"/>
      <c r="EN116" s="9"/>
      <c r="EO116" s="9"/>
      <c r="EP116" s="9"/>
      <c r="EQ116" s="9"/>
      <c r="ER116" s="9"/>
      <c r="ES116" s="9"/>
      <c r="ET116" s="9"/>
      <c r="EU116" s="9"/>
      <c r="EV116" s="9"/>
      <c r="EW116" s="9"/>
      <c r="EX116" s="9"/>
      <c r="EY116" s="9"/>
      <c r="EZ116" s="9"/>
      <c r="FA116" s="9"/>
      <c r="FB116" s="9"/>
      <c r="FC116" s="9"/>
      <c r="FD116" s="9"/>
      <c r="FE116" s="9"/>
      <c r="FF116" s="9"/>
      <c r="FG116" s="9"/>
      <c r="FH116" s="9"/>
      <c r="FI116" s="9"/>
    </row>
    <row r="117" spans="1:165" x14ac:dyDescent="0.2">
      <c r="A117" s="1" t="s">
        <v>650</v>
      </c>
      <c r="B117" s="1" t="s">
        <v>651</v>
      </c>
      <c r="C117" s="1" t="s">
        <v>605</v>
      </c>
      <c r="D117" s="1" t="str">
        <f>HYPERLINK("http://eros.fiehnlab.ucdavis.edu:8080/binbase-compound/bin/show/267806?db=rtx5","267806")</f>
        <v>267806</v>
      </c>
      <c r="E117" s="1" t="s">
        <v>652</v>
      </c>
      <c r="F117" s="1" t="str">
        <f>HYPERLINK("http://www.genome.ad.jp/dbget-bin/www_bget?compound+C05145","C05145")</f>
        <v>C05145</v>
      </c>
      <c r="G117" s="1" t="str">
        <f>HYPERLINK("http://pubchem.ncbi.nlm.nih.gov/summary/summary.cgi?cid=64956","64956")</f>
        <v>64956</v>
      </c>
      <c r="H117" s="1"/>
      <c r="I117" s="8">
        <v>140</v>
      </c>
      <c r="J117" s="8">
        <v>171</v>
      </c>
      <c r="K117" s="8">
        <v>61</v>
      </c>
      <c r="L117" s="8">
        <v>187</v>
      </c>
      <c r="M117" s="8">
        <v>174</v>
      </c>
      <c r="N117" s="8">
        <v>203</v>
      </c>
      <c r="O117" s="8">
        <v>199</v>
      </c>
      <c r="P117" s="8">
        <v>215</v>
      </c>
      <c r="Q117" s="8">
        <v>268</v>
      </c>
      <c r="R117" s="8">
        <v>84</v>
      </c>
      <c r="S117" s="8">
        <v>150</v>
      </c>
      <c r="T117" s="8">
        <v>207</v>
      </c>
      <c r="U117" s="8">
        <v>80</v>
      </c>
      <c r="V117" s="8">
        <v>266</v>
      </c>
      <c r="W117" s="8">
        <v>154</v>
      </c>
      <c r="X117" s="8">
        <v>183</v>
      </c>
      <c r="Y117" s="8">
        <v>198</v>
      </c>
      <c r="Z117" s="8">
        <v>103</v>
      </c>
      <c r="AA117" s="8">
        <v>148</v>
      </c>
      <c r="AB117" s="8">
        <v>286</v>
      </c>
      <c r="AC117" s="8">
        <v>41</v>
      </c>
      <c r="AD117" s="8">
        <v>229</v>
      </c>
      <c r="AE117" s="8">
        <v>217</v>
      </c>
      <c r="AF117" s="8">
        <v>182</v>
      </c>
      <c r="AG117" s="8">
        <v>123</v>
      </c>
      <c r="AH117" s="8">
        <v>253</v>
      </c>
      <c r="AI117" s="8">
        <v>177</v>
      </c>
      <c r="AJ117" s="8">
        <v>143</v>
      </c>
      <c r="AK117" s="8">
        <v>183</v>
      </c>
      <c r="AL117" s="8">
        <v>110</v>
      </c>
      <c r="AM117" s="8">
        <v>57</v>
      </c>
      <c r="AN117" s="8">
        <v>68</v>
      </c>
      <c r="AO117" s="8">
        <v>305</v>
      </c>
      <c r="AP117" s="8">
        <v>202</v>
      </c>
      <c r="AQ117" s="8">
        <v>132</v>
      </c>
      <c r="AR117" s="8">
        <v>171</v>
      </c>
      <c r="AS117" s="8">
        <v>267</v>
      </c>
      <c r="AT117" s="8">
        <v>135</v>
      </c>
      <c r="AU117" s="8">
        <v>84</v>
      </c>
      <c r="AV117" s="8">
        <v>286</v>
      </c>
      <c r="AW117" s="8">
        <v>55</v>
      </c>
      <c r="AX117" s="8">
        <v>187</v>
      </c>
      <c r="AY117" s="8">
        <v>103</v>
      </c>
      <c r="AZ117" s="8">
        <v>325</v>
      </c>
      <c r="BA117" s="8">
        <v>315</v>
      </c>
      <c r="BB117" s="8">
        <v>388</v>
      </c>
      <c r="BC117" s="8">
        <v>163</v>
      </c>
      <c r="BD117" s="8">
        <v>154</v>
      </c>
      <c r="BE117" s="8">
        <v>169</v>
      </c>
      <c r="BF117" s="8">
        <v>215</v>
      </c>
      <c r="BG117" s="8">
        <v>176</v>
      </c>
      <c r="BH117" s="8">
        <v>26</v>
      </c>
      <c r="BI117" s="8">
        <v>226</v>
      </c>
      <c r="BJ117" s="8">
        <v>181</v>
      </c>
      <c r="BK117" s="8">
        <v>288</v>
      </c>
      <c r="BL117" s="8">
        <v>230</v>
      </c>
      <c r="BM117" s="8">
        <v>282</v>
      </c>
      <c r="BN117" s="8">
        <v>157</v>
      </c>
      <c r="BO117" s="8">
        <v>208</v>
      </c>
      <c r="BP117" s="8">
        <v>156</v>
      </c>
      <c r="BQ117" s="8">
        <v>167</v>
      </c>
      <c r="BR117" s="8">
        <v>198</v>
      </c>
      <c r="BS117" s="8">
        <v>201</v>
      </c>
      <c r="BT117" s="8">
        <v>81</v>
      </c>
      <c r="BU117" s="8">
        <v>104</v>
      </c>
      <c r="BV117" s="8">
        <v>146</v>
      </c>
      <c r="BW117" s="8">
        <v>223</v>
      </c>
      <c r="BX117" s="8">
        <v>97</v>
      </c>
      <c r="BY117" s="8">
        <v>181</v>
      </c>
      <c r="BZ117" s="8">
        <v>168</v>
      </c>
      <c r="CA117" s="8">
        <v>220</v>
      </c>
      <c r="CB117" s="8">
        <v>220</v>
      </c>
      <c r="CC117" s="8">
        <v>179</v>
      </c>
      <c r="CD117" s="8">
        <v>162</v>
      </c>
      <c r="CE117" s="8">
        <v>194</v>
      </c>
      <c r="CF117" s="8">
        <v>163</v>
      </c>
      <c r="CG117" s="8">
        <v>125</v>
      </c>
      <c r="CH117" s="8">
        <v>157</v>
      </c>
      <c r="CJ117" s="9"/>
      <c r="CK117" s="9"/>
      <c r="CL117" s="9"/>
      <c r="CM117" s="9"/>
      <c r="CN117" s="9"/>
      <c r="CO117" s="9"/>
      <c r="CP117" s="9"/>
      <c r="CQ117" s="9"/>
      <c r="CR117" s="9"/>
      <c r="CS117" s="9"/>
      <c r="CT117" s="9"/>
      <c r="CU117" s="9"/>
      <c r="CV117" s="9"/>
      <c r="CW117" s="9"/>
      <c r="CX117" s="9"/>
      <c r="CY117" s="9"/>
      <c r="CZ117" s="9"/>
      <c r="DA117" s="9"/>
      <c r="DB117" s="9"/>
      <c r="DC117" s="9"/>
      <c r="DD117" s="9"/>
      <c r="DE117" s="9"/>
      <c r="DF117" s="9"/>
      <c r="DG117" s="9"/>
      <c r="DH117" s="9"/>
      <c r="DI117" s="9"/>
      <c r="DJ117" s="9"/>
      <c r="DK117" s="9"/>
      <c r="DL117" s="9"/>
      <c r="DM117" s="9"/>
      <c r="DN117" s="9"/>
      <c r="DO117" s="9"/>
      <c r="DP117" s="9"/>
      <c r="DQ117" s="9"/>
      <c r="DR117" s="9"/>
      <c r="DS117" s="9"/>
      <c r="DT117" s="9"/>
      <c r="DU117" s="9"/>
      <c r="DV117" s="9"/>
      <c r="DW117" s="9"/>
      <c r="DX117" s="9"/>
      <c r="DY117" s="9"/>
      <c r="DZ117" s="9"/>
      <c r="EA117" s="9"/>
      <c r="EB117" s="9"/>
      <c r="EC117" s="9"/>
      <c r="ED117" s="9"/>
      <c r="EE117" s="9"/>
      <c r="EF117" s="9"/>
      <c r="EG117" s="9"/>
      <c r="EH117" s="9"/>
      <c r="EI117" s="9"/>
      <c r="EJ117" s="9"/>
      <c r="EK117" s="9"/>
      <c r="EL117" s="9"/>
      <c r="EM117" s="9"/>
      <c r="EN117" s="9"/>
      <c r="EO117" s="9"/>
      <c r="EP117" s="9"/>
      <c r="EQ117" s="9"/>
      <c r="ER117" s="9"/>
      <c r="ES117" s="9"/>
      <c r="ET117" s="9"/>
      <c r="EU117" s="9"/>
      <c r="EV117" s="9"/>
      <c r="EW117" s="9"/>
      <c r="EX117" s="9"/>
      <c r="EY117" s="9"/>
      <c r="EZ117" s="9"/>
      <c r="FA117" s="9"/>
      <c r="FB117" s="9"/>
      <c r="FC117" s="9"/>
      <c r="FD117" s="9"/>
      <c r="FE117" s="9"/>
      <c r="FF117" s="9"/>
      <c r="FG117" s="9"/>
      <c r="FH117" s="9"/>
      <c r="FI117" s="9"/>
    </row>
    <row r="118" spans="1:165" x14ac:dyDescent="0.2">
      <c r="A118" s="1" t="s">
        <v>1427</v>
      </c>
      <c r="B118" s="1" t="s">
        <v>916</v>
      </c>
      <c r="C118" s="1" t="s">
        <v>917</v>
      </c>
      <c r="D118" s="1" t="str">
        <f>HYPERLINK("http://eros.fiehnlab.ucdavis.edu:8080/binbase-compound/bin/show/213388?db=rtx5","213388")</f>
        <v>213388</v>
      </c>
      <c r="E118" s="1" t="s">
        <v>918</v>
      </c>
      <c r="F118" s="1" t="str">
        <f>HYPERLINK("http://www.genome.ad.jp/dbget-bin/www_bget?compound+C00233","C00233")</f>
        <v>C00233</v>
      </c>
      <c r="G118" s="1" t="str">
        <f>HYPERLINK("http://pubchem.ncbi.nlm.nih.gov/summary/summary.cgi?cid=70","70")</f>
        <v>70</v>
      </c>
      <c r="H118" s="1"/>
      <c r="I118" s="8">
        <v>237</v>
      </c>
      <c r="J118" s="8">
        <v>272</v>
      </c>
      <c r="K118" s="8">
        <v>231</v>
      </c>
      <c r="L118" s="8">
        <v>234</v>
      </c>
      <c r="M118" s="8">
        <v>147</v>
      </c>
      <c r="N118" s="8">
        <v>221</v>
      </c>
      <c r="O118" s="8">
        <v>257</v>
      </c>
      <c r="P118" s="8">
        <v>254</v>
      </c>
      <c r="Q118" s="8">
        <v>243</v>
      </c>
      <c r="R118" s="8">
        <v>200</v>
      </c>
      <c r="S118" s="8">
        <v>250</v>
      </c>
      <c r="T118" s="8">
        <v>232</v>
      </c>
      <c r="U118" s="8">
        <v>212</v>
      </c>
      <c r="V118" s="8">
        <v>261</v>
      </c>
      <c r="W118" s="8">
        <v>235</v>
      </c>
      <c r="X118" s="8">
        <v>292</v>
      </c>
      <c r="Y118" s="8">
        <v>264</v>
      </c>
      <c r="Z118" s="8">
        <v>206</v>
      </c>
      <c r="AA118" s="8">
        <v>180</v>
      </c>
      <c r="AB118" s="8">
        <v>330</v>
      </c>
      <c r="AC118" s="8">
        <v>292</v>
      </c>
      <c r="AD118" s="8">
        <v>297</v>
      </c>
      <c r="AE118" s="8">
        <v>195</v>
      </c>
      <c r="AF118" s="8">
        <v>157</v>
      </c>
      <c r="AG118" s="8">
        <v>311</v>
      </c>
      <c r="AH118" s="8">
        <v>255</v>
      </c>
      <c r="AI118" s="8">
        <v>240</v>
      </c>
      <c r="AJ118" s="8">
        <v>352</v>
      </c>
      <c r="AK118" s="8">
        <v>267</v>
      </c>
      <c r="AL118" s="8">
        <v>221</v>
      </c>
      <c r="AM118" s="8">
        <v>284</v>
      </c>
      <c r="AN118" s="8">
        <v>204</v>
      </c>
      <c r="AO118" s="8">
        <v>255</v>
      </c>
      <c r="AP118" s="8">
        <v>178</v>
      </c>
      <c r="AQ118" s="8">
        <v>242</v>
      </c>
      <c r="AR118" s="8">
        <v>160</v>
      </c>
      <c r="AS118" s="8">
        <v>264</v>
      </c>
      <c r="AT118" s="8">
        <v>237</v>
      </c>
      <c r="AU118" s="8">
        <v>231</v>
      </c>
      <c r="AV118" s="8">
        <v>277</v>
      </c>
      <c r="AW118" s="8">
        <v>291</v>
      </c>
      <c r="AX118" s="8">
        <v>229</v>
      </c>
      <c r="AY118" s="8">
        <v>261</v>
      </c>
      <c r="AZ118" s="8">
        <v>251</v>
      </c>
      <c r="BA118" s="8">
        <v>300</v>
      </c>
      <c r="BB118" s="8">
        <v>303</v>
      </c>
      <c r="BC118" s="8">
        <v>302</v>
      </c>
      <c r="BD118" s="8">
        <v>246</v>
      </c>
      <c r="BE118" s="8">
        <v>108</v>
      </c>
      <c r="BF118" s="8">
        <v>224</v>
      </c>
      <c r="BG118" s="8">
        <v>390</v>
      </c>
      <c r="BH118" s="8">
        <v>224</v>
      </c>
      <c r="BI118" s="8">
        <v>278</v>
      </c>
      <c r="BJ118" s="8">
        <v>139</v>
      </c>
      <c r="BK118" s="8">
        <v>215</v>
      </c>
      <c r="BL118" s="8">
        <v>343</v>
      </c>
      <c r="BM118" s="8">
        <v>299</v>
      </c>
      <c r="BN118" s="8">
        <v>229</v>
      </c>
      <c r="BO118" s="8">
        <v>269</v>
      </c>
      <c r="BP118" s="8">
        <v>228</v>
      </c>
      <c r="BQ118" s="8">
        <v>250</v>
      </c>
      <c r="BR118" s="8">
        <v>234</v>
      </c>
      <c r="BS118" s="8">
        <v>324</v>
      </c>
      <c r="BT118" s="8">
        <v>232</v>
      </c>
      <c r="BU118" s="8">
        <v>182</v>
      </c>
      <c r="BV118" s="8">
        <v>228</v>
      </c>
      <c r="BW118" s="8">
        <v>280</v>
      </c>
      <c r="BX118" s="8">
        <v>260</v>
      </c>
      <c r="BY118" s="8">
        <v>288</v>
      </c>
      <c r="BZ118" s="8">
        <v>230</v>
      </c>
      <c r="CA118" s="8">
        <v>214</v>
      </c>
      <c r="CB118" s="8">
        <v>207</v>
      </c>
      <c r="CC118" s="8">
        <v>190</v>
      </c>
      <c r="CD118" s="8">
        <v>201</v>
      </c>
      <c r="CE118" s="8">
        <v>283</v>
      </c>
      <c r="CF118" s="8">
        <v>252</v>
      </c>
      <c r="CG118" s="8">
        <v>279</v>
      </c>
      <c r="CH118" s="8">
        <v>206</v>
      </c>
      <c r="CJ118" s="9"/>
      <c r="CK118" s="9"/>
      <c r="CL118" s="9"/>
      <c r="CM118" s="9"/>
      <c r="CN118" s="9"/>
      <c r="CO118" s="9"/>
      <c r="CP118" s="9"/>
      <c r="CQ118" s="9"/>
      <c r="CR118" s="9"/>
      <c r="CS118" s="9"/>
      <c r="CT118" s="9"/>
      <c r="CU118" s="9"/>
      <c r="CV118" s="9"/>
      <c r="CW118" s="9"/>
      <c r="CX118" s="9"/>
      <c r="CY118" s="9"/>
      <c r="CZ118" s="9"/>
      <c r="DA118" s="9"/>
      <c r="DB118" s="9"/>
      <c r="DC118" s="9"/>
      <c r="DD118" s="9"/>
      <c r="DE118" s="9"/>
      <c r="DF118" s="9"/>
      <c r="DG118" s="9"/>
      <c r="DH118" s="9"/>
      <c r="DI118" s="9"/>
      <c r="DJ118" s="9"/>
      <c r="DK118" s="9"/>
      <c r="DL118" s="9"/>
      <c r="DM118" s="9"/>
      <c r="DN118" s="9"/>
      <c r="DO118" s="9"/>
      <c r="DP118" s="9"/>
      <c r="DQ118" s="9"/>
      <c r="DR118" s="9"/>
      <c r="DS118" s="9"/>
      <c r="DT118" s="9"/>
      <c r="DU118" s="9"/>
      <c r="DV118" s="9"/>
      <c r="DW118" s="9"/>
      <c r="DX118" s="9"/>
      <c r="DY118" s="9"/>
      <c r="DZ118" s="9"/>
      <c r="EA118" s="9"/>
      <c r="EB118" s="9"/>
      <c r="EC118" s="9"/>
      <c r="ED118" s="9"/>
      <c r="EE118" s="9"/>
      <c r="EF118" s="9"/>
      <c r="EG118" s="9"/>
      <c r="EH118" s="9"/>
      <c r="EI118" s="9"/>
      <c r="EJ118" s="9"/>
      <c r="EK118" s="9"/>
      <c r="EL118" s="9"/>
      <c r="EM118" s="9"/>
      <c r="EN118" s="9"/>
      <c r="EO118" s="9"/>
      <c r="EP118" s="9"/>
      <c r="EQ118" s="9"/>
      <c r="ER118" s="9"/>
      <c r="ES118" s="9"/>
      <c r="ET118" s="9"/>
      <c r="EU118" s="9"/>
      <c r="EV118" s="9"/>
      <c r="EW118" s="9"/>
      <c r="EX118" s="9"/>
      <c r="EY118" s="9"/>
      <c r="EZ118" s="9"/>
      <c r="FA118" s="9"/>
      <c r="FB118" s="9"/>
      <c r="FC118" s="9"/>
      <c r="FD118" s="9"/>
      <c r="FE118" s="9"/>
      <c r="FF118" s="9"/>
      <c r="FG118" s="9"/>
      <c r="FH118" s="9"/>
      <c r="FI118" s="9"/>
    </row>
    <row r="119" spans="1:165" x14ac:dyDescent="0.2">
      <c r="A119" s="1" t="s">
        <v>919</v>
      </c>
      <c r="B119" s="1" t="s">
        <v>920</v>
      </c>
      <c r="C119" s="1" t="s">
        <v>265</v>
      </c>
      <c r="D119" s="1" t="str">
        <f>HYPERLINK("http://eros.fiehnlab.ucdavis.edu:8080/binbase-compound/bin/show/214409?db=rtx5","214409")</f>
        <v>214409</v>
      </c>
      <c r="E119" s="1" t="s">
        <v>921</v>
      </c>
      <c r="F119" s="1" t="str">
        <f>HYPERLINK("http://www.genome.ad.jp/dbget-bin/www_bget?compound+C02630","C02630")</f>
        <v>C02630</v>
      </c>
      <c r="G119" s="1" t="str">
        <f>HYPERLINK("http://pubchem.ncbi.nlm.nih.gov/summary/summary.cgi?cid=43","43")</f>
        <v>43</v>
      </c>
      <c r="H119" s="1"/>
      <c r="I119" s="8">
        <v>1126</v>
      </c>
      <c r="J119" s="8">
        <v>1100</v>
      </c>
      <c r="K119" s="8">
        <v>1246</v>
      </c>
      <c r="L119" s="8">
        <v>1117</v>
      </c>
      <c r="M119" s="8">
        <v>278</v>
      </c>
      <c r="N119" s="8">
        <v>252</v>
      </c>
      <c r="O119" s="8">
        <v>1787</v>
      </c>
      <c r="P119" s="8">
        <v>1916</v>
      </c>
      <c r="Q119" s="8">
        <v>299</v>
      </c>
      <c r="R119" s="8">
        <v>332</v>
      </c>
      <c r="S119" s="8">
        <v>340</v>
      </c>
      <c r="T119" s="8">
        <v>319</v>
      </c>
      <c r="U119" s="8">
        <v>1590</v>
      </c>
      <c r="V119" s="8">
        <v>1505</v>
      </c>
      <c r="W119" s="8">
        <v>1838</v>
      </c>
      <c r="X119" s="8">
        <v>288</v>
      </c>
      <c r="Y119" s="8">
        <v>341</v>
      </c>
      <c r="Z119" s="8">
        <v>318</v>
      </c>
      <c r="AA119" s="8">
        <v>1215</v>
      </c>
      <c r="AB119" s="8">
        <v>2006</v>
      </c>
      <c r="AC119" s="8">
        <v>2179</v>
      </c>
      <c r="AD119" s="8">
        <v>1918</v>
      </c>
      <c r="AE119" s="8">
        <v>2144</v>
      </c>
      <c r="AF119" s="8">
        <v>137</v>
      </c>
      <c r="AG119" s="8">
        <v>1669</v>
      </c>
      <c r="AH119" s="8">
        <v>1783</v>
      </c>
      <c r="AI119" s="8">
        <v>1411</v>
      </c>
      <c r="AJ119" s="8">
        <v>2254</v>
      </c>
      <c r="AK119" s="8">
        <v>243</v>
      </c>
      <c r="AL119" s="8">
        <v>236</v>
      </c>
      <c r="AM119" s="8">
        <v>4378</v>
      </c>
      <c r="AN119" s="8">
        <v>4235</v>
      </c>
      <c r="AO119" s="8">
        <v>4150</v>
      </c>
      <c r="AP119" s="8">
        <v>4040</v>
      </c>
      <c r="AQ119" s="8">
        <v>305</v>
      </c>
      <c r="AR119" s="8">
        <v>277</v>
      </c>
      <c r="AS119" s="8">
        <v>2582</v>
      </c>
      <c r="AT119" s="8">
        <v>2125</v>
      </c>
      <c r="AU119" s="8">
        <v>2318</v>
      </c>
      <c r="AV119" s="8">
        <v>2444</v>
      </c>
      <c r="AW119" s="8">
        <v>2743</v>
      </c>
      <c r="AX119" s="8">
        <v>374</v>
      </c>
      <c r="AY119" s="8">
        <v>6713</v>
      </c>
      <c r="AZ119" s="8">
        <v>7998</v>
      </c>
      <c r="BA119" s="8">
        <v>230</v>
      </c>
      <c r="BB119" s="8">
        <v>224</v>
      </c>
      <c r="BC119" s="8">
        <v>234</v>
      </c>
      <c r="BD119" s="8">
        <v>284</v>
      </c>
      <c r="BE119" s="8">
        <v>2254</v>
      </c>
      <c r="BF119" s="8">
        <v>1969</v>
      </c>
      <c r="BG119" s="8">
        <v>2088</v>
      </c>
      <c r="BH119" s="8">
        <v>1614</v>
      </c>
      <c r="BI119" s="8">
        <v>305</v>
      </c>
      <c r="BJ119" s="8">
        <v>1508</v>
      </c>
      <c r="BK119" s="8">
        <v>2480</v>
      </c>
      <c r="BL119" s="8">
        <v>2407</v>
      </c>
      <c r="BM119" s="8">
        <v>2438</v>
      </c>
      <c r="BN119" s="8">
        <v>1834</v>
      </c>
      <c r="BO119" s="8">
        <v>2375</v>
      </c>
      <c r="BP119" s="8">
        <v>2592</v>
      </c>
      <c r="BQ119" s="8">
        <v>1638</v>
      </c>
      <c r="BR119" s="8">
        <v>1404</v>
      </c>
      <c r="BS119" s="8">
        <v>1827</v>
      </c>
      <c r="BT119" s="8">
        <v>367</v>
      </c>
      <c r="BU119" s="8">
        <v>268</v>
      </c>
      <c r="BV119" s="8">
        <v>363</v>
      </c>
      <c r="BW119" s="8">
        <v>3264</v>
      </c>
      <c r="BX119" s="8">
        <v>2829</v>
      </c>
      <c r="BY119" s="8">
        <v>2675</v>
      </c>
      <c r="BZ119" s="8">
        <v>2947</v>
      </c>
      <c r="CA119" s="8">
        <v>2527</v>
      </c>
      <c r="CB119" s="8">
        <v>2238</v>
      </c>
      <c r="CC119" s="8">
        <v>1200</v>
      </c>
      <c r="CD119" s="8">
        <v>1668</v>
      </c>
      <c r="CE119" s="8">
        <v>1669</v>
      </c>
      <c r="CF119" s="8">
        <v>1449</v>
      </c>
      <c r="CG119" s="8">
        <v>1836</v>
      </c>
      <c r="CH119" s="8">
        <v>286</v>
      </c>
      <c r="CJ119" s="9"/>
      <c r="CK119" s="9"/>
      <c r="CL119" s="9"/>
      <c r="CM119" s="9"/>
      <c r="CN119" s="9"/>
      <c r="CO119" s="9"/>
      <c r="CP119" s="9"/>
      <c r="CQ119" s="9"/>
      <c r="CR119" s="9"/>
      <c r="CS119" s="9"/>
      <c r="CT119" s="9"/>
      <c r="CU119" s="9"/>
      <c r="CV119" s="9"/>
      <c r="CW119" s="9"/>
      <c r="CX119" s="9"/>
      <c r="CY119" s="9"/>
      <c r="CZ119" s="9"/>
      <c r="DA119" s="9"/>
      <c r="DB119" s="9"/>
      <c r="DC119" s="9"/>
      <c r="DD119" s="9"/>
      <c r="DE119" s="9"/>
      <c r="DF119" s="9"/>
      <c r="DG119" s="9"/>
      <c r="DH119" s="9"/>
      <c r="DI119" s="9"/>
      <c r="DJ119" s="9"/>
      <c r="DK119" s="9"/>
      <c r="DL119" s="9"/>
      <c r="DM119" s="9"/>
      <c r="DN119" s="9"/>
      <c r="DO119" s="9"/>
      <c r="DP119" s="9"/>
      <c r="DQ119" s="9"/>
      <c r="DR119" s="9"/>
      <c r="DS119" s="9"/>
      <c r="DT119" s="9"/>
      <c r="DU119" s="9"/>
      <c r="DV119" s="9"/>
      <c r="DW119" s="9"/>
      <c r="DX119" s="9"/>
      <c r="DY119" s="9"/>
      <c r="DZ119" s="9"/>
      <c r="EA119" s="9"/>
      <c r="EB119" s="9"/>
      <c r="EC119" s="9"/>
      <c r="ED119" s="9"/>
      <c r="EE119" s="9"/>
      <c r="EF119" s="9"/>
      <c r="EG119" s="9"/>
      <c r="EH119" s="9"/>
      <c r="EI119" s="9"/>
      <c r="EJ119" s="9"/>
      <c r="EK119" s="9"/>
      <c r="EL119" s="9"/>
      <c r="EM119" s="9"/>
      <c r="EN119" s="9"/>
      <c r="EO119" s="9"/>
      <c r="EP119" s="9"/>
      <c r="EQ119" s="9"/>
      <c r="ER119" s="9"/>
      <c r="ES119" s="9"/>
      <c r="ET119" s="9"/>
      <c r="EU119" s="9"/>
      <c r="EV119" s="9"/>
      <c r="EW119" s="9"/>
      <c r="EX119" s="9"/>
      <c r="EY119" s="9"/>
      <c r="EZ119" s="9"/>
      <c r="FA119" s="9"/>
      <c r="FB119" s="9"/>
      <c r="FC119" s="9"/>
      <c r="FD119" s="9"/>
      <c r="FE119" s="9"/>
      <c r="FF119" s="9"/>
      <c r="FG119" s="9"/>
      <c r="FH119" s="9"/>
      <c r="FI119" s="9"/>
    </row>
    <row r="120" spans="1:165" x14ac:dyDescent="0.2">
      <c r="A120" s="1" t="s">
        <v>922</v>
      </c>
      <c r="B120" s="1" t="s">
        <v>923</v>
      </c>
      <c r="C120" s="1" t="s">
        <v>924</v>
      </c>
      <c r="D120" s="1" t="str">
        <f>HYPERLINK("http://eros.fiehnlab.ucdavis.edu:8080/binbase-compound/bin/show/213131?db=rtx5","213131")</f>
        <v>213131</v>
      </c>
      <c r="E120" s="1" t="s">
        <v>925</v>
      </c>
      <c r="F120" s="1" t="str">
        <f>HYPERLINK("http://www.genome.ad.jp/dbget-bin/www_bget?compound+C00956","C00956")</f>
        <v>C00956</v>
      </c>
      <c r="G120" s="1" t="str">
        <f>HYPERLINK("http://pubchem.ncbi.nlm.nih.gov/summary/summary.cgi?cid=469","469")</f>
        <v>469</v>
      </c>
      <c r="H120" s="1"/>
      <c r="I120" s="8">
        <v>393</v>
      </c>
      <c r="J120" s="8">
        <v>421</v>
      </c>
      <c r="K120" s="8">
        <v>400</v>
      </c>
      <c r="L120" s="8">
        <v>367</v>
      </c>
      <c r="M120" s="8">
        <v>103</v>
      </c>
      <c r="N120" s="8">
        <v>98</v>
      </c>
      <c r="O120" s="8">
        <v>653</v>
      </c>
      <c r="P120" s="8">
        <v>733</v>
      </c>
      <c r="Q120" s="8">
        <v>785</v>
      </c>
      <c r="R120" s="8">
        <v>106</v>
      </c>
      <c r="S120" s="8">
        <v>97</v>
      </c>
      <c r="T120" s="8">
        <v>84</v>
      </c>
      <c r="U120" s="8">
        <v>664</v>
      </c>
      <c r="V120" s="8">
        <v>697</v>
      </c>
      <c r="W120" s="8">
        <v>1083</v>
      </c>
      <c r="X120" s="8">
        <v>423</v>
      </c>
      <c r="Y120" s="8">
        <v>567</v>
      </c>
      <c r="Z120" s="8">
        <v>602</v>
      </c>
      <c r="AA120" s="8">
        <v>392</v>
      </c>
      <c r="AB120" s="8">
        <v>416</v>
      </c>
      <c r="AC120" s="8">
        <v>125</v>
      </c>
      <c r="AD120" s="8">
        <v>474</v>
      </c>
      <c r="AE120" s="8">
        <v>509</v>
      </c>
      <c r="AF120" s="8">
        <v>68</v>
      </c>
      <c r="AG120" s="8">
        <v>1435</v>
      </c>
      <c r="AH120" s="8">
        <v>1306</v>
      </c>
      <c r="AI120" s="8">
        <v>777</v>
      </c>
      <c r="AJ120" s="8">
        <v>1828</v>
      </c>
      <c r="AK120" s="8">
        <v>860</v>
      </c>
      <c r="AL120" s="8">
        <v>105</v>
      </c>
      <c r="AM120" s="8">
        <v>2364</v>
      </c>
      <c r="AN120" s="8">
        <v>1287</v>
      </c>
      <c r="AO120" s="8">
        <v>1560</v>
      </c>
      <c r="AP120" s="8">
        <v>1618</v>
      </c>
      <c r="AQ120" s="8">
        <v>1040</v>
      </c>
      <c r="AR120" s="8">
        <v>107</v>
      </c>
      <c r="AS120" s="8">
        <v>1543</v>
      </c>
      <c r="AT120" s="8">
        <v>1139</v>
      </c>
      <c r="AU120" s="8">
        <v>1051</v>
      </c>
      <c r="AV120" s="8">
        <v>1054</v>
      </c>
      <c r="AW120" s="8">
        <v>1183</v>
      </c>
      <c r="AX120" s="8">
        <v>73</v>
      </c>
      <c r="AY120" s="8">
        <v>481</v>
      </c>
      <c r="AZ120" s="8">
        <v>750</v>
      </c>
      <c r="BA120" s="8">
        <v>91</v>
      </c>
      <c r="BB120" s="8">
        <v>76</v>
      </c>
      <c r="BC120" s="8">
        <v>111</v>
      </c>
      <c r="BD120" s="8">
        <v>71</v>
      </c>
      <c r="BE120" s="8">
        <v>1129</v>
      </c>
      <c r="BF120" s="8">
        <v>1304</v>
      </c>
      <c r="BG120" s="8">
        <v>1035</v>
      </c>
      <c r="BH120" s="8">
        <v>741</v>
      </c>
      <c r="BI120" s="8">
        <v>92</v>
      </c>
      <c r="BJ120" s="8">
        <v>82</v>
      </c>
      <c r="BK120" s="8">
        <v>1369</v>
      </c>
      <c r="BL120" s="8">
        <v>1236</v>
      </c>
      <c r="BM120" s="8">
        <v>1218</v>
      </c>
      <c r="BN120" s="8">
        <v>1163</v>
      </c>
      <c r="BO120" s="8">
        <v>1252</v>
      </c>
      <c r="BP120" s="8">
        <v>1183</v>
      </c>
      <c r="BQ120" s="8">
        <v>1092</v>
      </c>
      <c r="BR120" s="8">
        <v>1215</v>
      </c>
      <c r="BS120" s="8">
        <v>1199</v>
      </c>
      <c r="BT120" s="8">
        <v>880</v>
      </c>
      <c r="BU120" s="8">
        <v>98</v>
      </c>
      <c r="BV120" s="8">
        <v>872</v>
      </c>
      <c r="BW120" s="8">
        <v>965</v>
      </c>
      <c r="BX120" s="8">
        <v>885</v>
      </c>
      <c r="BY120" s="8">
        <v>766</v>
      </c>
      <c r="BZ120" s="8">
        <v>993</v>
      </c>
      <c r="CA120" s="8">
        <v>800</v>
      </c>
      <c r="CB120" s="8">
        <v>81</v>
      </c>
      <c r="CC120" s="8">
        <v>1280</v>
      </c>
      <c r="CD120" s="8">
        <v>1275</v>
      </c>
      <c r="CE120" s="8">
        <v>1500</v>
      </c>
      <c r="CF120" s="8">
        <v>1362</v>
      </c>
      <c r="CG120" s="8">
        <v>1542</v>
      </c>
      <c r="CH120" s="8">
        <v>977</v>
      </c>
      <c r="CJ120" s="9"/>
      <c r="CK120" s="9"/>
      <c r="CL120" s="9"/>
      <c r="CM120" s="9"/>
      <c r="CN120" s="9"/>
      <c r="CO120" s="9"/>
      <c r="CP120" s="9"/>
      <c r="CQ120" s="9"/>
      <c r="CR120" s="9"/>
      <c r="CS120" s="9"/>
      <c r="CT120" s="9"/>
      <c r="CU120" s="9"/>
      <c r="CV120" s="9"/>
      <c r="CW120" s="9"/>
      <c r="CX120" s="9"/>
      <c r="CY120" s="9"/>
      <c r="CZ120" s="9"/>
      <c r="DA120" s="9"/>
      <c r="DB120" s="9"/>
      <c r="DC120" s="9"/>
      <c r="DD120" s="9"/>
      <c r="DE120" s="9"/>
      <c r="DF120" s="9"/>
      <c r="DG120" s="9"/>
      <c r="DH120" s="9"/>
      <c r="DI120" s="9"/>
      <c r="DJ120" s="9"/>
      <c r="DK120" s="9"/>
      <c r="DL120" s="9"/>
      <c r="DM120" s="9"/>
      <c r="DN120" s="9"/>
      <c r="DO120" s="9"/>
      <c r="DP120" s="9"/>
      <c r="DQ120" s="9"/>
      <c r="DR120" s="9"/>
      <c r="DS120" s="9"/>
      <c r="DT120" s="9"/>
      <c r="DU120" s="9"/>
      <c r="DV120" s="9"/>
      <c r="DW120" s="9"/>
      <c r="DX120" s="9"/>
      <c r="DY120" s="9"/>
      <c r="DZ120" s="9"/>
      <c r="EA120" s="9"/>
      <c r="EB120" s="9"/>
      <c r="EC120" s="9"/>
      <c r="ED120" s="9"/>
      <c r="EE120" s="9"/>
      <c r="EF120" s="9"/>
      <c r="EG120" s="9"/>
      <c r="EH120" s="9"/>
      <c r="EI120" s="9"/>
      <c r="EJ120" s="9"/>
      <c r="EK120" s="9"/>
      <c r="EL120" s="9"/>
      <c r="EM120" s="9"/>
      <c r="EN120" s="9"/>
      <c r="EO120" s="9"/>
      <c r="EP120" s="9"/>
      <c r="EQ120" s="9"/>
      <c r="ER120" s="9"/>
      <c r="ES120" s="9"/>
      <c r="ET120" s="9"/>
      <c r="EU120" s="9"/>
      <c r="EV120" s="9"/>
      <c r="EW120" s="9"/>
      <c r="EX120" s="9"/>
      <c r="EY120" s="9"/>
      <c r="EZ120" s="9"/>
      <c r="FA120" s="9"/>
      <c r="FB120" s="9"/>
      <c r="FC120" s="9"/>
      <c r="FD120" s="9"/>
      <c r="FE120" s="9"/>
      <c r="FF120" s="9"/>
      <c r="FG120" s="9"/>
      <c r="FH120" s="9"/>
      <c r="FI120" s="9"/>
    </row>
    <row r="121" spans="1:165" x14ac:dyDescent="0.2">
      <c r="A121" s="1" t="s">
        <v>1386</v>
      </c>
      <c r="B121" s="1" t="s">
        <v>1387</v>
      </c>
      <c r="C121" s="1" t="s">
        <v>1388</v>
      </c>
      <c r="D121" s="1" t="str">
        <f>HYPERLINK("http://eros.fiehnlab.ucdavis.edu:8080/binbase-compound/bin/show/307894?db=rtx5","307894")</f>
        <v>307894</v>
      </c>
      <c r="E121" s="1" t="s">
        <v>1389</v>
      </c>
      <c r="F121" s="1" t="str">
        <f>HYPERLINK("http://www.genome.ad.jp/dbget-bin/www_bget?compound+D01947","D01947")</f>
        <v>D01947</v>
      </c>
      <c r="G121" s="1" t="str">
        <f>HYPERLINK("http://pubchem.ncbi.nlm.nih.gov/summary/summary.cgi?cid=24699","24699")</f>
        <v>24699</v>
      </c>
      <c r="H121" s="1"/>
      <c r="I121" s="8">
        <v>108</v>
      </c>
      <c r="J121" s="8">
        <v>89</v>
      </c>
      <c r="K121" s="8">
        <v>155</v>
      </c>
      <c r="L121" s="8">
        <v>100</v>
      </c>
      <c r="M121" s="8">
        <v>120</v>
      </c>
      <c r="N121" s="8">
        <v>114</v>
      </c>
      <c r="O121" s="8">
        <v>100</v>
      </c>
      <c r="P121" s="8">
        <v>175</v>
      </c>
      <c r="Q121" s="8">
        <v>121</v>
      </c>
      <c r="R121" s="8">
        <v>211</v>
      </c>
      <c r="S121" s="8">
        <v>157</v>
      </c>
      <c r="T121" s="8">
        <v>96</v>
      </c>
      <c r="U121" s="8">
        <v>139</v>
      </c>
      <c r="V121" s="8">
        <v>100</v>
      </c>
      <c r="W121" s="8">
        <v>84</v>
      </c>
      <c r="X121" s="8">
        <v>123</v>
      </c>
      <c r="Y121" s="8">
        <v>91</v>
      </c>
      <c r="Z121" s="8">
        <v>67</v>
      </c>
      <c r="AA121" s="8">
        <v>59</v>
      </c>
      <c r="AB121" s="8">
        <v>96</v>
      </c>
      <c r="AC121" s="8">
        <v>87</v>
      </c>
      <c r="AD121" s="8">
        <v>87</v>
      </c>
      <c r="AE121" s="8">
        <v>141</v>
      </c>
      <c r="AF121" s="8">
        <v>55</v>
      </c>
      <c r="AG121" s="8">
        <v>99</v>
      </c>
      <c r="AH121" s="8">
        <v>72</v>
      </c>
      <c r="AI121" s="8">
        <v>238</v>
      </c>
      <c r="AJ121" s="8">
        <v>104</v>
      </c>
      <c r="AK121" s="8">
        <v>82</v>
      </c>
      <c r="AL121" s="8">
        <v>94</v>
      </c>
      <c r="AM121" s="8">
        <v>149</v>
      </c>
      <c r="AN121" s="8">
        <v>155</v>
      </c>
      <c r="AO121" s="8">
        <v>99</v>
      </c>
      <c r="AP121" s="8">
        <v>120</v>
      </c>
      <c r="AQ121" s="8">
        <v>100</v>
      </c>
      <c r="AR121" s="8">
        <v>77</v>
      </c>
      <c r="AS121" s="8">
        <v>106</v>
      </c>
      <c r="AT121" s="8">
        <v>98</v>
      </c>
      <c r="AU121" s="8">
        <v>122</v>
      </c>
      <c r="AV121" s="8">
        <v>96</v>
      </c>
      <c r="AW121" s="8">
        <v>104</v>
      </c>
      <c r="AX121" s="8">
        <v>1779</v>
      </c>
      <c r="AY121" s="8">
        <v>112</v>
      </c>
      <c r="AZ121" s="8">
        <v>127</v>
      </c>
      <c r="BA121" s="8">
        <v>107</v>
      </c>
      <c r="BB121" s="8">
        <v>228</v>
      </c>
      <c r="BC121" s="8">
        <v>96</v>
      </c>
      <c r="BD121" s="8">
        <v>103</v>
      </c>
      <c r="BE121" s="8">
        <v>213</v>
      </c>
      <c r="BF121" s="8">
        <v>69</v>
      </c>
      <c r="BG121" s="8">
        <v>75</v>
      </c>
      <c r="BH121" s="8">
        <v>94</v>
      </c>
      <c r="BI121" s="8">
        <v>103</v>
      </c>
      <c r="BJ121" s="8">
        <v>192</v>
      </c>
      <c r="BK121" s="8">
        <v>148</v>
      </c>
      <c r="BL121" s="8">
        <v>119</v>
      </c>
      <c r="BM121" s="8">
        <v>116</v>
      </c>
      <c r="BN121" s="8">
        <v>69</v>
      </c>
      <c r="BO121" s="8">
        <v>118</v>
      </c>
      <c r="BP121" s="8">
        <v>119</v>
      </c>
      <c r="BQ121" s="8">
        <v>91</v>
      </c>
      <c r="BR121" s="8">
        <v>86</v>
      </c>
      <c r="BS121" s="8">
        <v>111</v>
      </c>
      <c r="BT121" s="8">
        <v>238</v>
      </c>
      <c r="BU121" s="8">
        <v>101</v>
      </c>
      <c r="BV121" s="8">
        <v>95</v>
      </c>
      <c r="BW121" s="8">
        <v>82</v>
      </c>
      <c r="BX121" s="8">
        <v>151</v>
      </c>
      <c r="BY121" s="8">
        <v>80</v>
      </c>
      <c r="BZ121" s="8">
        <v>106</v>
      </c>
      <c r="CA121" s="8">
        <v>107</v>
      </c>
      <c r="CB121" s="8">
        <v>87</v>
      </c>
      <c r="CC121" s="8">
        <v>80</v>
      </c>
      <c r="CD121" s="8">
        <v>219</v>
      </c>
      <c r="CE121" s="8">
        <v>92</v>
      </c>
      <c r="CF121" s="8">
        <v>95</v>
      </c>
      <c r="CG121" s="8">
        <v>111</v>
      </c>
      <c r="CH121" s="8">
        <v>68</v>
      </c>
      <c r="CJ121" s="9"/>
      <c r="CK121" s="9"/>
      <c r="CL121" s="9"/>
      <c r="CM121" s="9"/>
      <c r="CN121" s="9"/>
      <c r="CO121" s="9"/>
      <c r="CP121" s="9"/>
      <c r="CQ121" s="9"/>
      <c r="CR121" s="9"/>
      <c r="CS121" s="9"/>
      <c r="CT121" s="9"/>
      <c r="CU121" s="9"/>
      <c r="CV121" s="9"/>
      <c r="CW121" s="9"/>
      <c r="CX121" s="9"/>
      <c r="CY121" s="9"/>
      <c r="CZ121" s="9"/>
      <c r="DA121" s="9"/>
      <c r="DB121" s="9"/>
      <c r="DC121" s="9"/>
      <c r="DD121" s="9"/>
      <c r="DE121" s="9"/>
      <c r="DF121" s="9"/>
      <c r="DG121" s="9"/>
      <c r="DH121" s="9"/>
      <c r="DI121" s="9"/>
      <c r="DJ121" s="9"/>
      <c r="DK121" s="9"/>
      <c r="DL121" s="9"/>
      <c r="DM121" s="9"/>
      <c r="DN121" s="9"/>
      <c r="DO121" s="9"/>
      <c r="DP121" s="9"/>
      <c r="DQ121" s="9"/>
      <c r="DR121" s="9"/>
      <c r="DS121" s="9"/>
      <c r="DT121" s="9"/>
      <c r="DU121" s="9"/>
      <c r="DV121" s="9"/>
      <c r="DW121" s="9"/>
      <c r="DX121" s="9"/>
      <c r="DY121" s="9"/>
      <c r="DZ121" s="9"/>
      <c r="EA121" s="9"/>
      <c r="EB121" s="9"/>
      <c r="EC121" s="9"/>
      <c r="ED121" s="9"/>
      <c r="EE121" s="9"/>
      <c r="EF121" s="9"/>
      <c r="EG121" s="9"/>
      <c r="EH121" s="9"/>
      <c r="EI121" s="9"/>
      <c r="EJ121" s="9"/>
      <c r="EK121" s="9"/>
      <c r="EL121" s="9"/>
      <c r="EM121" s="9"/>
      <c r="EN121" s="9"/>
      <c r="EO121" s="9"/>
      <c r="EP121" s="9"/>
      <c r="EQ121" s="9"/>
      <c r="ER121" s="9"/>
      <c r="ES121" s="9"/>
      <c r="ET121" s="9"/>
      <c r="EU121" s="9"/>
      <c r="EV121" s="9"/>
      <c r="EW121" s="9"/>
      <c r="EX121" s="9"/>
      <c r="EY121" s="9"/>
      <c r="EZ121" s="9"/>
      <c r="FA121" s="9"/>
      <c r="FB121" s="9"/>
      <c r="FC121" s="9"/>
      <c r="FD121" s="9"/>
      <c r="FE121" s="9"/>
      <c r="FF121" s="9"/>
      <c r="FG121" s="9"/>
      <c r="FH121" s="9"/>
      <c r="FI121" s="9"/>
    </row>
    <row r="122" spans="1:165" x14ac:dyDescent="0.2">
      <c r="A122" s="1" t="s">
        <v>1415</v>
      </c>
      <c r="B122" s="1" t="s">
        <v>1416</v>
      </c>
      <c r="C122" s="1" t="s">
        <v>382</v>
      </c>
      <c r="D122" s="1" t="str">
        <f>HYPERLINK("http://eros.fiehnlab.ucdavis.edu:8080/binbase-compound/bin/show/232626?db=rtx5","232626")</f>
        <v>232626</v>
      </c>
      <c r="E122" s="1" t="s">
        <v>1417</v>
      </c>
      <c r="F122" s="1" t="str">
        <f>HYPERLINK("http://www.genome.ad.jp/dbget-bin/www_bget?compound+C02814","C02814")</f>
        <v>C02814</v>
      </c>
      <c r="G122" s="1" t="str">
        <f>HYPERLINK("http://pubchem.ncbi.nlm.nih.gov/summary/summary.cgi?cid=10787","10787")</f>
        <v>10787</v>
      </c>
      <c r="H122" s="1"/>
      <c r="I122" s="8">
        <v>356</v>
      </c>
      <c r="J122" s="8">
        <v>29</v>
      </c>
      <c r="K122" s="8">
        <v>230</v>
      </c>
      <c r="L122" s="8">
        <v>176</v>
      </c>
      <c r="M122" s="8">
        <v>232</v>
      </c>
      <c r="N122" s="8">
        <v>80</v>
      </c>
      <c r="O122" s="8">
        <v>170</v>
      </c>
      <c r="P122" s="8">
        <v>236</v>
      </c>
      <c r="Q122" s="8">
        <v>221</v>
      </c>
      <c r="R122" s="8">
        <v>249</v>
      </c>
      <c r="S122" s="8">
        <v>59</v>
      </c>
      <c r="T122" s="8">
        <v>223</v>
      </c>
      <c r="U122" s="8">
        <v>265</v>
      </c>
      <c r="V122" s="8">
        <v>215</v>
      </c>
      <c r="W122" s="8">
        <v>307</v>
      </c>
      <c r="X122" s="8">
        <v>290</v>
      </c>
      <c r="Y122" s="8">
        <v>144</v>
      </c>
      <c r="Z122" s="8">
        <v>179</v>
      </c>
      <c r="AA122" s="8">
        <v>207</v>
      </c>
      <c r="AB122" s="8">
        <v>179</v>
      </c>
      <c r="AC122" s="8">
        <v>197</v>
      </c>
      <c r="AD122" s="8">
        <v>248</v>
      </c>
      <c r="AE122" s="8">
        <v>322</v>
      </c>
      <c r="AF122" s="8">
        <v>149</v>
      </c>
      <c r="AG122" s="8">
        <v>133</v>
      </c>
      <c r="AH122" s="8">
        <v>183</v>
      </c>
      <c r="AI122" s="8">
        <v>176</v>
      </c>
      <c r="AJ122" s="8">
        <v>265</v>
      </c>
      <c r="AK122" s="8">
        <v>116</v>
      </c>
      <c r="AL122" s="8">
        <v>88</v>
      </c>
      <c r="AM122" s="8">
        <v>335</v>
      </c>
      <c r="AN122" s="8">
        <v>217</v>
      </c>
      <c r="AO122" s="8">
        <v>210</v>
      </c>
      <c r="AP122" s="8">
        <v>399</v>
      </c>
      <c r="AQ122" s="8">
        <v>265</v>
      </c>
      <c r="AR122" s="8">
        <v>89</v>
      </c>
      <c r="AS122" s="8">
        <v>448</v>
      </c>
      <c r="AT122" s="8">
        <v>277</v>
      </c>
      <c r="AU122" s="8">
        <v>228</v>
      </c>
      <c r="AV122" s="8">
        <v>158</v>
      </c>
      <c r="AW122" s="8">
        <v>259</v>
      </c>
      <c r="AX122" s="8">
        <v>154</v>
      </c>
      <c r="AY122" s="8">
        <v>249</v>
      </c>
      <c r="AZ122" s="8">
        <v>302</v>
      </c>
      <c r="BA122" s="8">
        <v>185</v>
      </c>
      <c r="BB122" s="8">
        <v>281</v>
      </c>
      <c r="BC122" s="8">
        <v>191</v>
      </c>
      <c r="BD122" s="8">
        <v>224</v>
      </c>
      <c r="BE122" s="8">
        <v>330</v>
      </c>
      <c r="BF122" s="8">
        <v>209</v>
      </c>
      <c r="BG122" s="8">
        <v>49</v>
      </c>
      <c r="BH122" s="8">
        <v>155</v>
      </c>
      <c r="BI122" s="8">
        <v>251</v>
      </c>
      <c r="BJ122" s="8">
        <v>168</v>
      </c>
      <c r="BK122" s="8">
        <v>113</v>
      </c>
      <c r="BL122" s="8">
        <v>207</v>
      </c>
      <c r="BM122" s="8">
        <v>50</v>
      </c>
      <c r="BN122" s="8">
        <v>200</v>
      </c>
      <c r="BO122" s="8">
        <v>243</v>
      </c>
      <c r="BP122" s="8">
        <v>122</v>
      </c>
      <c r="BQ122" s="8">
        <v>361</v>
      </c>
      <c r="BR122" s="8">
        <v>290</v>
      </c>
      <c r="BS122" s="8">
        <v>275</v>
      </c>
      <c r="BT122" s="8">
        <v>196</v>
      </c>
      <c r="BU122" s="8">
        <v>210</v>
      </c>
      <c r="BV122" s="8">
        <v>84</v>
      </c>
      <c r="BW122" s="8">
        <v>283</v>
      </c>
      <c r="BX122" s="8">
        <v>168</v>
      </c>
      <c r="BY122" s="8">
        <v>146</v>
      </c>
      <c r="BZ122" s="8">
        <v>227</v>
      </c>
      <c r="CA122" s="8">
        <v>156</v>
      </c>
      <c r="CB122" s="8">
        <v>184</v>
      </c>
      <c r="CC122" s="8">
        <v>110</v>
      </c>
      <c r="CD122" s="8">
        <v>181</v>
      </c>
      <c r="CE122" s="8">
        <v>156</v>
      </c>
      <c r="CF122" s="8">
        <v>53</v>
      </c>
      <c r="CG122" s="8">
        <v>382</v>
      </c>
      <c r="CH122" s="8">
        <v>197</v>
      </c>
      <c r="CJ122" s="9"/>
      <c r="CK122" s="9"/>
      <c r="CL122" s="9"/>
      <c r="CM122" s="9"/>
      <c r="CN122" s="9"/>
      <c r="CO122" s="9"/>
      <c r="CP122" s="9"/>
      <c r="CQ122" s="9"/>
      <c r="CR122" s="9"/>
      <c r="CS122" s="9"/>
      <c r="CT122" s="9"/>
      <c r="CU122" s="9"/>
      <c r="CV122" s="9"/>
      <c r="CW122" s="9"/>
      <c r="CX122" s="9"/>
      <c r="CY122" s="9"/>
      <c r="CZ122" s="9"/>
      <c r="DA122" s="9"/>
      <c r="DB122" s="9"/>
      <c r="DC122" s="9"/>
      <c r="DD122" s="9"/>
      <c r="DE122" s="9"/>
      <c r="DF122" s="9"/>
      <c r="DG122" s="9"/>
      <c r="DH122" s="9"/>
      <c r="DI122" s="9"/>
      <c r="DJ122" s="9"/>
      <c r="DK122" s="9"/>
      <c r="DL122" s="9"/>
      <c r="DM122" s="9"/>
      <c r="DN122" s="9"/>
      <c r="DO122" s="9"/>
      <c r="DP122" s="9"/>
      <c r="DQ122" s="9"/>
      <c r="DR122" s="9"/>
      <c r="DS122" s="9"/>
      <c r="DT122" s="9"/>
      <c r="DU122" s="9"/>
      <c r="DV122" s="9"/>
      <c r="DW122" s="9"/>
      <c r="DX122" s="9"/>
      <c r="DY122" s="9"/>
      <c r="DZ122" s="9"/>
      <c r="EA122" s="9"/>
      <c r="EB122" s="9"/>
      <c r="EC122" s="9"/>
      <c r="ED122" s="9"/>
      <c r="EE122" s="9"/>
      <c r="EF122" s="9"/>
      <c r="EG122" s="9"/>
      <c r="EH122" s="9"/>
      <c r="EI122" s="9"/>
      <c r="EJ122" s="9"/>
      <c r="EK122" s="9"/>
      <c r="EL122" s="9"/>
      <c r="EM122" s="9"/>
      <c r="EN122" s="9"/>
      <c r="EO122" s="9"/>
      <c r="EP122" s="9"/>
      <c r="EQ122" s="9"/>
      <c r="ER122" s="9"/>
      <c r="ES122" s="9"/>
      <c r="ET122" s="9"/>
      <c r="EU122" s="9"/>
      <c r="EV122" s="9"/>
      <c r="EW122" s="9"/>
      <c r="EX122" s="9"/>
      <c r="EY122" s="9"/>
      <c r="EZ122" s="9"/>
      <c r="FA122" s="9"/>
      <c r="FB122" s="9"/>
      <c r="FC122" s="9"/>
      <c r="FD122" s="9"/>
      <c r="FE122" s="9"/>
      <c r="FF122" s="9"/>
      <c r="FG122" s="9"/>
      <c r="FH122" s="9"/>
      <c r="FI122" s="9"/>
    </row>
    <row r="123" spans="1:165" x14ac:dyDescent="0.2">
      <c r="A123" s="1" t="s">
        <v>653</v>
      </c>
      <c r="B123" s="1" t="s">
        <v>654</v>
      </c>
      <c r="C123" s="1" t="s">
        <v>655</v>
      </c>
      <c r="D123" s="1" t="str">
        <f>HYPERLINK("http://eros.fiehnlab.ucdavis.edu:8080/binbase-compound/bin/show/374207?db=rtx5","374207")</f>
        <v>374207</v>
      </c>
      <c r="E123" s="1" t="s">
        <v>656</v>
      </c>
      <c r="F123" s="1" t="s">
        <v>184</v>
      </c>
      <c r="G123" s="1" t="s">
        <v>184</v>
      </c>
      <c r="H123" s="1"/>
      <c r="I123" s="8">
        <v>1255</v>
      </c>
      <c r="J123" s="8">
        <v>1099</v>
      </c>
      <c r="K123" s="8">
        <v>1114</v>
      </c>
      <c r="L123" s="8">
        <v>1050</v>
      </c>
      <c r="M123" s="8">
        <v>1319</v>
      </c>
      <c r="N123" s="8">
        <v>1319</v>
      </c>
      <c r="O123" s="8">
        <v>922</v>
      </c>
      <c r="P123" s="8">
        <v>1341</v>
      </c>
      <c r="Q123" s="8">
        <v>1291</v>
      </c>
      <c r="R123" s="8">
        <v>1228</v>
      </c>
      <c r="S123" s="8">
        <v>1368</v>
      </c>
      <c r="T123" s="8">
        <v>992</v>
      </c>
      <c r="U123" s="8">
        <v>698</v>
      </c>
      <c r="V123" s="8">
        <v>981</v>
      </c>
      <c r="W123" s="8">
        <v>964</v>
      </c>
      <c r="X123" s="8">
        <v>1279</v>
      </c>
      <c r="Y123" s="8">
        <v>884</v>
      </c>
      <c r="Z123" s="8">
        <v>1079</v>
      </c>
      <c r="AA123" s="8">
        <v>648</v>
      </c>
      <c r="AB123" s="8">
        <v>1063</v>
      </c>
      <c r="AC123" s="8">
        <v>1016</v>
      </c>
      <c r="AD123" s="8">
        <v>1036</v>
      </c>
      <c r="AE123" s="8">
        <v>1283</v>
      </c>
      <c r="AF123" s="8">
        <v>1020</v>
      </c>
      <c r="AG123" s="8">
        <v>703</v>
      </c>
      <c r="AH123" s="8">
        <v>978</v>
      </c>
      <c r="AI123" s="8">
        <v>955</v>
      </c>
      <c r="AJ123" s="8">
        <v>1018</v>
      </c>
      <c r="AK123" s="8">
        <v>969</v>
      </c>
      <c r="AL123" s="8">
        <v>1381</v>
      </c>
      <c r="AM123" s="8">
        <v>1641</v>
      </c>
      <c r="AN123" s="8">
        <v>1329</v>
      </c>
      <c r="AO123" s="8">
        <v>1386</v>
      </c>
      <c r="AP123" s="8">
        <v>1248</v>
      </c>
      <c r="AQ123" s="8">
        <v>1373</v>
      </c>
      <c r="AR123" s="8">
        <v>1139</v>
      </c>
      <c r="AS123" s="8">
        <v>1318</v>
      </c>
      <c r="AT123" s="8">
        <v>1256</v>
      </c>
      <c r="AU123" s="8">
        <v>1163</v>
      </c>
      <c r="AV123" s="8">
        <v>960</v>
      </c>
      <c r="AW123" s="8">
        <v>1102</v>
      </c>
      <c r="AX123" s="8">
        <v>969</v>
      </c>
      <c r="AY123" s="8">
        <v>1123</v>
      </c>
      <c r="AZ123" s="8">
        <v>1337</v>
      </c>
      <c r="BA123" s="8">
        <v>1469</v>
      </c>
      <c r="BB123" s="8">
        <v>1428</v>
      </c>
      <c r="BC123" s="8">
        <v>1319</v>
      </c>
      <c r="BD123" s="8">
        <v>1523</v>
      </c>
      <c r="BE123" s="8">
        <v>1198</v>
      </c>
      <c r="BF123" s="8">
        <v>1204</v>
      </c>
      <c r="BG123" s="8">
        <v>868</v>
      </c>
      <c r="BH123" s="8">
        <v>1014</v>
      </c>
      <c r="BI123" s="8">
        <v>963</v>
      </c>
      <c r="BJ123" s="8">
        <v>1045</v>
      </c>
      <c r="BK123" s="8">
        <v>1301</v>
      </c>
      <c r="BL123" s="8">
        <v>1368</v>
      </c>
      <c r="BM123" s="8">
        <v>1364</v>
      </c>
      <c r="BN123" s="8">
        <v>933</v>
      </c>
      <c r="BO123" s="8">
        <v>1173</v>
      </c>
      <c r="BP123" s="8">
        <v>1154</v>
      </c>
      <c r="BQ123" s="8">
        <v>1277</v>
      </c>
      <c r="BR123" s="8">
        <v>1122</v>
      </c>
      <c r="BS123" s="8">
        <v>1157</v>
      </c>
      <c r="BT123" s="8">
        <v>1151</v>
      </c>
      <c r="BU123" s="8">
        <v>1030</v>
      </c>
      <c r="BV123" s="8">
        <v>986</v>
      </c>
      <c r="BW123" s="8">
        <v>1117</v>
      </c>
      <c r="BX123" s="8">
        <v>900</v>
      </c>
      <c r="BY123" s="8">
        <v>1126</v>
      </c>
      <c r="BZ123" s="8">
        <v>1040</v>
      </c>
      <c r="CA123" s="8">
        <v>1194</v>
      </c>
      <c r="CB123" s="8">
        <v>896</v>
      </c>
      <c r="CC123" s="8">
        <v>907</v>
      </c>
      <c r="CD123" s="8">
        <v>907</v>
      </c>
      <c r="CE123" s="8">
        <v>1051</v>
      </c>
      <c r="CF123" s="8">
        <v>749</v>
      </c>
      <c r="CG123" s="8">
        <v>966</v>
      </c>
      <c r="CH123" s="8">
        <v>1052</v>
      </c>
      <c r="CJ123" s="9"/>
      <c r="CK123" s="9"/>
      <c r="CL123" s="9"/>
      <c r="CM123" s="9"/>
      <c r="CN123" s="9"/>
      <c r="CO123" s="9"/>
      <c r="CP123" s="9"/>
      <c r="CQ123" s="9"/>
      <c r="CR123" s="9"/>
      <c r="CS123" s="9"/>
      <c r="CT123" s="9"/>
      <c r="CU123" s="9"/>
      <c r="CV123" s="9"/>
      <c r="CW123" s="9"/>
      <c r="CX123" s="9"/>
      <c r="CY123" s="9"/>
      <c r="CZ123" s="9"/>
      <c r="DA123" s="9"/>
      <c r="DB123" s="9"/>
      <c r="DC123" s="9"/>
      <c r="DD123" s="9"/>
      <c r="DE123" s="9"/>
      <c r="DF123" s="9"/>
      <c r="DG123" s="9"/>
      <c r="DH123" s="9"/>
      <c r="DI123" s="9"/>
      <c r="DJ123" s="9"/>
      <c r="DK123" s="9"/>
      <c r="DL123" s="9"/>
      <c r="DM123" s="9"/>
      <c r="DN123" s="9"/>
      <c r="DO123" s="9"/>
      <c r="DP123" s="9"/>
      <c r="DQ123" s="9"/>
      <c r="DR123" s="9"/>
      <c r="DS123" s="9"/>
      <c r="DT123" s="9"/>
      <c r="DU123" s="9"/>
      <c r="DV123" s="9"/>
      <c r="DW123" s="9"/>
      <c r="DX123" s="9"/>
      <c r="DY123" s="9"/>
      <c r="DZ123" s="9"/>
      <c r="EA123" s="9"/>
      <c r="EB123" s="9"/>
      <c r="EC123" s="9"/>
      <c r="ED123" s="9"/>
      <c r="EE123" s="9"/>
      <c r="EF123" s="9"/>
      <c r="EG123" s="9"/>
      <c r="EH123" s="9"/>
      <c r="EI123" s="9"/>
      <c r="EJ123" s="9"/>
      <c r="EK123" s="9"/>
      <c r="EL123" s="9"/>
      <c r="EM123" s="9"/>
      <c r="EN123" s="9"/>
      <c r="EO123" s="9"/>
      <c r="EP123" s="9"/>
      <c r="EQ123" s="9"/>
      <c r="ER123" s="9"/>
      <c r="ES123" s="9"/>
      <c r="ET123" s="9"/>
      <c r="EU123" s="9"/>
      <c r="EV123" s="9"/>
      <c r="EW123" s="9"/>
      <c r="EX123" s="9"/>
      <c r="EY123" s="9"/>
      <c r="EZ123" s="9"/>
      <c r="FA123" s="9"/>
      <c r="FB123" s="9"/>
      <c r="FC123" s="9"/>
      <c r="FD123" s="9"/>
      <c r="FE123" s="9"/>
      <c r="FF123" s="9"/>
      <c r="FG123" s="9"/>
      <c r="FH123" s="9"/>
      <c r="FI123" s="9"/>
    </row>
    <row r="124" spans="1:165" x14ac:dyDescent="0.2">
      <c r="A124" s="1" t="s">
        <v>733</v>
      </c>
      <c r="B124" s="1" t="s">
        <v>734</v>
      </c>
      <c r="C124" s="1" t="s">
        <v>655</v>
      </c>
      <c r="D124" s="1" t="str">
        <f>HYPERLINK("http://eros.fiehnlab.ucdavis.edu:8080/binbase-compound/bin/show/368540?db=rtx5","368540")</f>
        <v>368540</v>
      </c>
      <c r="E124" s="1" t="s">
        <v>735</v>
      </c>
      <c r="F124" s="1" t="s">
        <v>184</v>
      </c>
      <c r="G124" s="1" t="s">
        <v>184</v>
      </c>
      <c r="H124" s="1"/>
      <c r="I124" s="8">
        <v>3514</v>
      </c>
      <c r="J124" s="8">
        <v>3048</v>
      </c>
      <c r="K124" s="8">
        <v>3051</v>
      </c>
      <c r="L124" s="8">
        <v>2977</v>
      </c>
      <c r="M124" s="8">
        <v>3358</v>
      </c>
      <c r="N124" s="8">
        <v>3226</v>
      </c>
      <c r="O124" s="8">
        <v>2518</v>
      </c>
      <c r="P124" s="8">
        <v>3377</v>
      </c>
      <c r="Q124" s="8">
        <v>3034</v>
      </c>
      <c r="R124" s="8">
        <v>3352</v>
      </c>
      <c r="S124" s="8">
        <v>3492</v>
      </c>
      <c r="T124" s="8">
        <v>2788</v>
      </c>
      <c r="U124" s="8">
        <v>1729</v>
      </c>
      <c r="V124" s="8">
        <v>2670</v>
      </c>
      <c r="W124" s="8">
        <v>2466</v>
      </c>
      <c r="X124" s="8">
        <v>3526</v>
      </c>
      <c r="Y124" s="8">
        <v>2335</v>
      </c>
      <c r="Z124" s="8">
        <v>3078</v>
      </c>
      <c r="AA124" s="8">
        <v>1854</v>
      </c>
      <c r="AB124" s="8">
        <v>2769</v>
      </c>
      <c r="AC124" s="8">
        <v>2698</v>
      </c>
      <c r="AD124" s="8">
        <v>3006</v>
      </c>
      <c r="AE124" s="8">
        <v>2799</v>
      </c>
      <c r="AF124" s="8">
        <v>2284</v>
      </c>
      <c r="AG124" s="8">
        <v>2121</v>
      </c>
      <c r="AH124" s="8">
        <v>2801</v>
      </c>
      <c r="AI124" s="8">
        <v>2897</v>
      </c>
      <c r="AJ124" s="8">
        <v>3464</v>
      </c>
      <c r="AK124" s="8">
        <v>2327</v>
      </c>
      <c r="AL124" s="8">
        <v>3509</v>
      </c>
      <c r="AM124" s="8">
        <v>3993</v>
      </c>
      <c r="AN124" s="8">
        <v>3718</v>
      </c>
      <c r="AO124" s="8">
        <v>3337</v>
      </c>
      <c r="AP124" s="8">
        <v>3453</v>
      </c>
      <c r="AQ124" s="8">
        <v>3661</v>
      </c>
      <c r="AR124" s="8">
        <v>2905</v>
      </c>
      <c r="AS124" s="8">
        <v>3321</v>
      </c>
      <c r="AT124" s="8">
        <v>3211</v>
      </c>
      <c r="AU124" s="8">
        <v>3094</v>
      </c>
      <c r="AV124" s="8">
        <v>2896</v>
      </c>
      <c r="AW124" s="8">
        <v>3085</v>
      </c>
      <c r="AX124" s="8">
        <v>2461</v>
      </c>
      <c r="AY124" s="8">
        <v>3283</v>
      </c>
      <c r="AZ124" s="8">
        <v>3540</v>
      </c>
      <c r="BA124" s="8">
        <v>3483</v>
      </c>
      <c r="BB124" s="8">
        <v>3541</v>
      </c>
      <c r="BC124" s="8">
        <v>3407</v>
      </c>
      <c r="BD124" s="8">
        <v>3526</v>
      </c>
      <c r="BE124" s="8">
        <v>3312</v>
      </c>
      <c r="BF124" s="8">
        <v>3130</v>
      </c>
      <c r="BG124" s="8">
        <v>2912</v>
      </c>
      <c r="BH124" s="8">
        <v>2613</v>
      </c>
      <c r="BI124" s="8">
        <v>2549</v>
      </c>
      <c r="BJ124" s="8">
        <v>2762</v>
      </c>
      <c r="BK124" s="8">
        <v>3407</v>
      </c>
      <c r="BL124" s="8">
        <v>3662</v>
      </c>
      <c r="BM124" s="8">
        <v>3123</v>
      </c>
      <c r="BN124" s="8">
        <v>2544</v>
      </c>
      <c r="BO124" s="8">
        <v>2813</v>
      </c>
      <c r="BP124" s="8">
        <v>3431</v>
      </c>
      <c r="BQ124" s="8">
        <v>3130</v>
      </c>
      <c r="BR124" s="8">
        <v>3292</v>
      </c>
      <c r="BS124" s="8">
        <v>3209</v>
      </c>
      <c r="BT124" s="8">
        <v>2572</v>
      </c>
      <c r="BU124" s="8">
        <v>2919</v>
      </c>
      <c r="BV124" s="8">
        <v>2610</v>
      </c>
      <c r="BW124" s="8">
        <v>3013</v>
      </c>
      <c r="BX124" s="8">
        <v>2873</v>
      </c>
      <c r="BY124" s="8">
        <v>2735</v>
      </c>
      <c r="BZ124" s="8">
        <v>2590</v>
      </c>
      <c r="CA124" s="8">
        <v>3060</v>
      </c>
      <c r="CB124" s="8">
        <v>2265</v>
      </c>
      <c r="CC124" s="8">
        <v>2521</v>
      </c>
      <c r="CD124" s="8">
        <v>2302</v>
      </c>
      <c r="CE124" s="8">
        <v>2571</v>
      </c>
      <c r="CF124" s="8">
        <v>2029</v>
      </c>
      <c r="CG124" s="8">
        <v>2787</v>
      </c>
      <c r="CH124" s="8">
        <v>2677</v>
      </c>
      <c r="CJ124" s="9"/>
      <c r="CK124" s="9"/>
      <c r="CL124" s="9"/>
      <c r="CM124" s="9"/>
      <c r="CN124" s="9"/>
      <c r="CO124" s="9"/>
      <c r="CP124" s="9"/>
      <c r="CQ124" s="9"/>
      <c r="CR124" s="9"/>
      <c r="CS124" s="9"/>
      <c r="CT124" s="9"/>
      <c r="CU124" s="9"/>
      <c r="CV124" s="9"/>
      <c r="CW124" s="9"/>
      <c r="CX124" s="9"/>
      <c r="CY124" s="9"/>
      <c r="CZ124" s="9"/>
      <c r="DA124" s="9"/>
      <c r="DB124" s="9"/>
      <c r="DC124" s="9"/>
      <c r="DD124" s="9"/>
      <c r="DE124" s="9"/>
      <c r="DF124" s="9"/>
      <c r="DG124" s="9"/>
      <c r="DH124" s="9"/>
      <c r="DI124" s="9"/>
      <c r="DJ124" s="9"/>
      <c r="DK124" s="9"/>
      <c r="DL124" s="9"/>
      <c r="DM124" s="9"/>
      <c r="DN124" s="9"/>
      <c r="DO124" s="9"/>
      <c r="DP124" s="9"/>
      <c r="DQ124" s="9"/>
      <c r="DR124" s="9"/>
      <c r="DS124" s="9"/>
      <c r="DT124" s="9"/>
      <c r="DU124" s="9"/>
      <c r="DV124" s="9"/>
      <c r="DW124" s="9"/>
      <c r="DX124" s="9"/>
      <c r="DY124" s="9"/>
      <c r="DZ124" s="9"/>
      <c r="EA124" s="9"/>
      <c r="EB124" s="9"/>
      <c r="EC124" s="9"/>
      <c r="ED124" s="9"/>
      <c r="EE124" s="9"/>
      <c r="EF124" s="9"/>
      <c r="EG124" s="9"/>
      <c r="EH124" s="9"/>
      <c r="EI124" s="9"/>
      <c r="EJ124" s="9"/>
      <c r="EK124" s="9"/>
      <c r="EL124" s="9"/>
      <c r="EM124" s="9"/>
      <c r="EN124" s="9"/>
      <c r="EO124" s="9"/>
      <c r="EP124" s="9"/>
      <c r="EQ124" s="9"/>
      <c r="ER124" s="9"/>
      <c r="ES124" s="9"/>
      <c r="ET124" s="9"/>
      <c r="EU124" s="9"/>
      <c r="EV124" s="9"/>
      <c r="EW124" s="9"/>
      <c r="EX124" s="9"/>
      <c r="EY124" s="9"/>
      <c r="EZ124" s="9"/>
      <c r="FA124" s="9"/>
      <c r="FB124" s="9"/>
      <c r="FC124" s="9"/>
      <c r="FD124" s="9"/>
      <c r="FE124" s="9"/>
      <c r="FF124" s="9"/>
      <c r="FG124" s="9"/>
      <c r="FH124" s="9"/>
      <c r="FI124" s="9"/>
    </row>
    <row r="125" spans="1:165" x14ac:dyDescent="0.2">
      <c r="A125" s="1" t="s">
        <v>736</v>
      </c>
      <c r="B125" s="1" t="s">
        <v>737</v>
      </c>
      <c r="C125" s="1" t="s">
        <v>738</v>
      </c>
      <c r="D125" s="1" t="str">
        <f>HYPERLINK("http://eros.fiehnlab.ucdavis.edu:8080/binbase-compound/bin/show/368153?db=rtx5","368153")</f>
        <v>368153</v>
      </c>
      <c r="E125" s="1" t="s">
        <v>739</v>
      </c>
      <c r="F125" s="1" t="s">
        <v>184</v>
      </c>
      <c r="G125" s="1" t="s">
        <v>184</v>
      </c>
      <c r="H125" s="1"/>
      <c r="I125" s="8">
        <v>4757</v>
      </c>
      <c r="J125" s="8">
        <v>4064</v>
      </c>
      <c r="K125" s="8">
        <v>4259</v>
      </c>
      <c r="L125" s="8">
        <v>3755</v>
      </c>
      <c r="M125" s="8">
        <v>4575</v>
      </c>
      <c r="N125" s="8">
        <v>4538</v>
      </c>
      <c r="O125" s="8">
        <v>3810</v>
      </c>
      <c r="P125" s="8">
        <v>4436</v>
      </c>
      <c r="Q125" s="8">
        <v>4804</v>
      </c>
      <c r="R125" s="8">
        <v>4912</v>
      </c>
      <c r="S125" s="8">
        <v>5236</v>
      </c>
      <c r="T125" s="8">
        <v>4007</v>
      </c>
      <c r="U125" s="8">
        <v>2285</v>
      </c>
      <c r="V125" s="8">
        <v>3826</v>
      </c>
      <c r="W125" s="8">
        <v>3642</v>
      </c>
      <c r="X125" s="8">
        <v>4469</v>
      </c>
      <c r="Y125" s="8">
        <v>3281</v>
      </c>
      <c r="Z125" s="8">
        <v>4169</v>
      </c>
      <c r="AA125" s="8">
        <v>2478</v>
      </c>
      <c r="AB125" s="8">
        <v>3758</v>
      </c>
      <c r="AC125" s="8">
        <v>4041</v>
      </c>
      <c r="AD125" s="8">
        <v>4036</v>
      </c>
      <c r="AE125" s="8">
        <v>4710</v>
      </c>
      <c r="AF125" s="8">
        <v>3194</v>
      </c>
      <c r="AG125" s="8">
        <v>2848</v>
      </c>
      <c r="AH125" s="8">
        <v>4021</v>
      </c>
      <c r="AI125" s="8">
        <v>3864</v>
      </c>
      <c r="AJ125" s="8">
        <v>5008</v>
      </c>
      <c r="AK125" s="8">
        <v>3686</v>
      </c>
      <c r="AL125" s="8">
        <v>4628</v>
      </c>
      <c r="AM125" s="8">
        <v>5655</v>
      </c>
      <c r="AN125" s="8">
        <v>4796</v>
      </c>
      <c r="AO125" s="8">
        <v>4674</v>
      </c>
      <c r="AP125" s="8">
        <v>5164</v>
      </c>
      <c r="AQ125" s="8">
        <v>4789</v>
      </c>
      <c r="AR125" s="8">
        <v>3941</v>
      </c>
      <c r="AS125" s="8">
        <v>4501</v>
      </c>
      <c r="AT125" s="8">
        <v>4459</v>
      </c>
      <c r="AU125" s="8">
        <v>4175</v>
      </c>
      <c r="AV125" s="8">
        <v>3902</v>
      </c>
      <c r="AW125" s="8">
        <v>4152</v>
      </c>
      <c r="AX125" s="8">
        <v>3698</v>
      </c>
      <c r="AY125" s="8">
        <v>4265</v>
      </c>
      <c r="AZ125" s="8">
        <v>4659</v>
      </c>
      <c r="BA125" s="8">
        <v>5298</v>
      </c>
      <c r="BB125" s="8">
        <v>5013</v>
      </c>
      <c r="BC125" s="8">
        <v>5222</v>
      </c>
      <c r="BD125" s="8">
        <v>5201</v>
      </c>
      <c r="BE125" s="8">
        <v>4443</v>
      </c>
      <c r="BF125" s="8">
        <v>4081</v>
      </c>
      <c r="BG125" s="8">
        <v>3852</v>
      </c>
      <c r="BH125" s="8">
        <v>3123</v>
      </c>
      <c r="BI125" s="8">
        <v>3688</v>
      </c>
      <c r="BJ125" s="8">
        <v>3878</v>
      </c>
      <c r="BK125" s="8">
        <v>4389</v>
      </c>
      <c r="BL125" s="8">
        <v>4884</v>
      </c>
      <c r="BM125" s="8">
        <v>4868</v>
      </c>
      <c r="BN125" s="8">
        <v>3587</v>
      </c>
      <c r="BO125" s="8">
        <v>4696</v>
      </c>
      <c r="BP125" s="8">
        <v>4867</v>
      </c>
      <c r="BQ125" s="8">
        <v>4038</v>
      </c>
      <c r="BR125" s="8">
        <v>4116</v>
      </c>
      <c r="BS125" s="8">
        <v>3820</v>
      </c>
      <c r="BT125" s="8">
        <v>4201</v>
      </c>
      <c r="BU125" s="8">
        <v>3825</v>
      </c>
      <c r="BV125" s="8">
        <v>4133</v>
      </c>
      <c r="BW125" s="8">
        <v>4120</v>
      </c>
      <c r="BX125" s="8">
        <v>4085</v>
      </c>
      <c r="BY125" s="8">
        <v>3748</v>
      </c>
      <c r="BZ125" s="8">
        <v>4445</v>
      </c>
      <c r="CA125" s="8">
        <v>3802</v>
      </c>
      <c r="CB125" s="8">
        <v>3231</v>
      </c>
      <c r="CC125" s="8">
        <v>3869</v>
      </c>
      <c r="CD125" s="8">
        <v>3115</v>
      </c>
      <c r="CE125" s="8">
        <v>3888</v>
      </c>
      <c r="CF125" s="8">
        <v>3275</v>
      </c>
      <c r="CG125" s="8">
        <v>3894</v>
      </c>
      <c r="CH125" s="8">
        <v>3823</v>
      </c>
      <c r="CJ125" s="9"/>
      <c r="CK125" s="9"/>
      <c r="CL125" s="9"/>
      <c r="CM125" s="9"/>
      <c r="CN125" s="9"/>
      <c r="CO125" s="9"/>
      <c r="CP125" s="9"/>
      <c r="CQ125" s="9"/>
      <c r="CR125" s="9"/>
      <c r="CS125" s="9"/>
      <c r="CT125" s="9"/>
      <c r="CU125" s="9"/>
      <c r="CV125" s="9"/>
      <c r="CW125" s="9"/>
      <c r="CX125" s="9"/>
      <c r="CY125" s="9"/>
      <c r="CZ125" s="9"/>
      <c r="DA125" s="9"/>
      <c r="DB125" s="9"/>
      <c r="DC125" s="9"/>
      <c r="DD125" s="9"/>
      <c r="DE125" s="9"/>
      <c r="DF125" s="9"/>
      <c r="DG125" s="9"/>
      <c r="DH125" s="9"/>
      <c r="DI125" s="9"/>
      <c r="DJ125" s="9"/>
      <c r="DK125" s="9"/>
      <c r="DL125" s="9"/>
      <c r="DM125" s="9"/>
      <c r="DN125" s="9"/>
      <c r="DO125" s="9"/>
      <c r="DP125" s="9"/>
      <c r="DQ125" s="9"/>
      <c r="DR125" s="9"/>
      <c r="DS125" s="9"/>
      <c r="DT125" s="9"/>
      <c r="DU125" s="9"/>
      <c r="DV125" s="9"/>
      <c r="DW125" s="9"/>
      <c r="DX125" s="9"/>
      <c r="DY125" s="9"/>
      <c r="DZ125" s="9"/>
      <c r="EA125" s="9"/>
      <c r="EB125" s="9"/>
      <c r="EC125" s="9"/>
      <c r="ED125" s="9"/>
      <c r="EE125" s="9"/>
      <c r="EF125" s="9"/>
      <c r="EG125" s="9"/>
      <c r="EH125" s="9"/>
      <c r="EI125" s="9"/>
      <c r="EJ125" s="9"/>
      <c r="EK125" s="9"/>
      <c r="EL125" s="9"/>
      <c r="EM125" s="9"/>
      <c r="EN125" s="9"/>
      <c r="EO125" s="9"/>
      <c r="EP125" s="9"/>
      <c r="EQ125" s="9"/>
      <c r="ER125" s="9"/>
      <c r="ES125" s="9"/>
      <c r="ET125" s="9"/>
      <c r="EU125" s="9"/>
      <c r="EV125" s="9"/>
      <c r="EW125" s="9"/>
      <c r="EX125" s="9"/>
      <c r="EY125" s="9"/>
      <c r="EZ125" s="9"/>
      <c r="FA125" s="9"/>
      <c r="FB125" s="9"/>
      <c r="FC125" s="9"/>
      <c r="FD125" s="9"/>
      <c r="FE125" s="9"/>
      <c r="FF125" s="9"/>
      <c r="FG125" s="9"/>
      <c r="FH125" s="9"/>
      <c r="FI125" s="9"/>
    </row>
    <row r="126" spans="1:165" x14ac:dyDescent="0.2">
      <c r="A126" s="1" t="s">
        <v>786</v>
      </c>
      <c r="B126" s="1" t="s">
        <v>787</v>
      </c>
      <c r="C126" s="1" t="s">
        <v>265</v>
      </c>
      <c r="D126" s="1" t="str">
        <f>HYPERLINK("http://eros.fiehnlab.ucdavis.edu:8080/binbase-compound/bin/show/362056?db=rtx5","362056")</f>
        <v>362056</v>
      </c>
      <c r="E126" s="1" t="s">
        <v>788</v>
      </c>
      <c r="F126" s="1" t="s">
        <v>184</v>
      </c>
      <c r="G126" s="1" t="s">
        <v>184</v>
      </c>
      <c r="H126" s="1"/>
      <c r="I126" s="8">
        <v>283249</v>
      </c>
      <c r="J126" s="8">
        <v>238085</v>
      </c>
      <c r="K126" s="8">
        <v>252118</v>
      </c>
      <c r="L126" s="8">
        <v>220780</v>
      </c>
      <c r="M126" s="8">
        <v>268087</v>
      </c>
      <c r="N126" s="8">
        <v>265115</v>
      </c>
      <c r="O126" s="8">
        <v>212263</v>
      </c>
      <c r="P126" s="8">
        <v>267591</v>
      </c>
      <c r="Q126" s="8">
        <v>261669</v>
      </c>
      <c r="R126" s="8">
        <v>265587</v>
      </c>
      <c r="S126" s="8">
        <v>289779</v>
      </c>
      <c r="T126" s="8">
        <v>211353</v>
      </c>
      <c r="U126" s="8">
        <v>132529</v>
      </c>
      <c r="V126" s="8">
        <v>212933</v>
      </c>
      <c r="W126" s="8">
        <v>211177</v>
      </c>
      <c r="X126" s="8">
        <v>261795</v>
      </c>
      <c r="Y126" s="8">
        <v>194145</v>
      </c>
      <c r="Z126" s="8">
        <v>237822</v>
      </c>
      <c r="AA126" s="8">
        <v>152176</v>
      </c>
      <c r="AB126" s="8">
        <v>229087</v>
      </c>
      <c r="AC126" s="8">
        <v>212955</v>
      </c>
      <c r="AD126" s="8">
        <v>235039</v>
      </c>
      <c r="AE126" s="8">
        <v>252483</v>
      </c>
      <c r="AF126" s="8">
        <v>185177</v>
      </c>
      <c r="AG126" s="8">
        <v>170430</v>
      </c>
      <c r="AH126" s="8">
        <v>212528</v>
      </c>
      <c r="AI126" s="8">
        <v>220183</v>
      </c>
      <c r="AJ126" s="8">
        <v>290848</v>
      </c>
      <c r="AK126" s="8">
        <v>206444</v>
      </c>
      <c r="AL126" s="8">
        <v>287795</v>
      </c>
      <c r="AM126" s="8">
        <v>335180</v>
      </c>
      <c r="AN126" s="8">
        <v>281075</v>
      </c>
      <c r="AO126" s="8">
        <v>259812</v>
      </c>
      <c r="AP126" s="8">
        <v>297418</v>
      </c>
      <c r="AQ126" s="8">
        <v>267692</v>
      </c>
      <c r="AR126" s="8">
        <v>222995</v>
      </c>
      <c r="AS126" s="8">
        <v>249152</v>
      </c>
      <c r="AT126" s="8">
        <v>252720</v>
      </c>
      <c r="AU126" s="8">
        <v>233423</v>
      </c>
      <c r="AV126" s="8">
        <v>229061</v>
      </c>
      <c r="AW126" s="8">
        <v>257063</v>
      </c>
      <c r="AX126" s="8">
        <v>201469</v>
      </c>
      <c r="AY126" s="8">
        <v>264197</v>
      </c>
      <c r="AZ126" s="8">
        <v>266142</v>
      </c>
      <c r="BA126" s="8">
        <v>285625</v>
      </c>
      <c r="BB126" s="8">
        <v>293480</v>
      </c>
      <c r="BC126" s="8">
        <v>293768</v>
      </c>
      <c r="BD126" s="8">
        <v>290909</v>
      </c>
      <c r="BE126" s="8">
        <v>254827</v>
      </c>
      <c r="BF126" s="8">
        <v>246861</v>
      </c>
      <c r="BG126" s="8">
        <v>224143</v>
      </c>
      <c r="BH126" s="8">
        <v>199392</v>
      </c>
      <c r="BI126" s="8">
        <v>218004</v>
      </c>
      <c r="BJ126" s="8">
        <v>230067</v>
      </c>
      <c r="BK126" s="8">
        <v>271530</v>
      </c>
      <c r="BL126" s="8">
        <v>281187</v>
      </c>
      <c r="BM126" s="8">
        <v>289269</v>
      </c>
      <c r="BN126" s="8">
        <v>209585</v>
      </c>
      <c r="BO126" s="8">
        <v>260390</v>
      </c>
      <c r="BP126" s="8">
        <v>281943</v>
      </c>
      <c r="BQ126" s="8">
        <v>230948</v>
      </c>
      <c r="BR126" s="8">
        <v>255773</v>
      </c>
      <c r="BS126" s="8">
        <v>242972</v>
      </c>
      <c r="BT126" s="8">
        <v>235784</v>
      </c>
      <c r="BU126" s="8">
        <v>232092</v>
      </c>
      <c r="BV126" s="8">
        <v>234046</v>
      </c>
      <c r="BW126" s="8">
        <v>250402</v>
      </c>
      <c r="BX126" s="8">
        <v>226880</v>
      </c>
      <c r="BY126" s="8">
        <v>226868</v>
      </c>
      <c r="BZ126" s="8">
        <v>244762</v>
      </c>
      <c r="CA126" s="8">
        <v>238750</v>
      </c>
      <c r="CB126" s="8">
        <v>181247</v>
      </c>
      <c r="CC126" s="8">
        <v>216498</v>
      </c>
      <c r="CD126" s="8">
        <v>205077</v>
      </c>
      <c r="CE126" s="8">
        <v>223139</v>
      </c>
      <c r="CF126" s="8">
        <v>183486</v>
      </c>
      <c r="CG126" s="8">
        <v>220643</v>
      </c>
      <c r="CH126" s="8">
        <v>225038</v>
      </c>
      <c r="CJ126" s="9"/>
      <c r="CK126" s="9"/>
      <c r="CL126" s="9"/>
      <c r="CM126" s="9"/>
      <c r="CN126" s="9"/>
      <c r="CO126" s="9"/>
      <c r="CP126" s="9"/>
      <c r="CQ126" s="9"/>
      <c r="CR126" s="9"/>
      <c r="CS126" s="9"/>
      <c r="CT126" s="9"/>
      <c r="CU126" s="9"/>
      <c r="CV126" s="9"/>
      <c r="CW126" s="9"/>
      <c r="CX126" s="9"/>
      <c r="CY126" s="9"/>
      <c r="CZ126" s="9"/>
      <c r="DA126" s="9"/>
      <c r="DB126" s="9"/>
      <c r="DC126" s="9"/>
      <c r="DD126" s="9"/>
      <c r="DE126" s="9"/>
      <c r="DF126" s="9"/>
      <c r="DG126" s="9"/>
      <c r="DH126" s="9"/>
      <c r="DI126" s="9"/>
      <c r="DJ126" s="9"/>
      <c r="DK126" s="9"/>
      <c r="DL126" s="9"/>
      <c r="DM126" s="9"/>
      <c r="DN126" s="9"/>
      <c r="DO126" s="9"/>
      <c r="DP126" s="9"/>
      <c r="DQ126" s="9"/>
      <c r="DR126" s="9"/>
      <c r="DS126" s="9"/>
      <c r="DT126" s="9"/>
      <c r="DU126" s="9"/>
      <c r="DV126" s="9"/>
      <c r="DW126" s="9"/>
      <c r="DX126" s="9"/>
      <c r="DY126" s="9"/>
      <c r="DZ126" s="9"/>
      <c r="EA126" s="9"/>
      <c r="EB126" s="9"/>
      <c r="EC126" s="9"/>
      <c r="ED126" s="9"/>
      <c r="EE126" s="9"/>
      <c r="EF126" s="9"/>
      <c r="EG126" s="9"/>
      <c r="EH126" s="9"/>
      <c r="EI126" s="9"/>
      <c r="EJ126" s="9"/>
      <c r="EK126" s="9"/>
      <c r="EL126" s="9"/>
      <c r="EM126" s="9"/>
      <c r="EN126" s="9"/>
      <c r="EO126" s="9"/>
      <c r="EP126" s="9"/>
      <c r="EQ126" s="9"/>
      <c r="ER126" s="9"/>
      <c r="ES126" s="9"/>
      <c r="ET126" s="9"/>
      <c r="EU126" s="9"/>
      <c r="EV126" s="9"/>
      <c r="EW126" s="9"/>
      <c r="EX126" s="9"/>
      <c r="EY126" s="9"/>
      <c r="EZ126" s="9"/>
      <c r="FA126" s="9"/>
      <c r="FB126" s="9"/>
      <c r="FC126" s="9"/>
      <c r="FD126" s="9"/>
      <c r="FE126" s="9"/>
      <c r="FF126" s="9"/>
      <c r="FG126" s="9"/>
      <c r="FH126" s="9"/>
      <c r="FI126" s="9"/>
    </row>
    <row r="127" spans="1:165" x14ac:dyDescent="0.2">
      <c r="A127" s="1" t="s">
        <v>814</v>
      </c>
      <c r="B127" s="1" t="s">
        <v>815</v>
      </c>
      <c r="C127" s="1" t="s">
        <v>294</v>
      </c>
      <c r="D127" s="1" t="str">
        <f>HYPERLINK("http://eros.fiehnlab.ucdavis.edu:8080/binbase-compound/bin/show/356925?db=rtx5","356925")</f>
        <v>356925</v>
      </c>
      <c r="E127" s="1" t="s">
        <v>816</v>
      </c>
      <c r="F127" s="1" t="s">
        <v>184</v>
      </c>
      <c r="G127" s="1" t="s">
        <v>184</v>
      </c>
      <c r="H127" s="1"/>
      <c r="I127" s="8">
        <v>7626</v>
      </c>
      <c r="J127" s="8">
        <v>5615</v>
      </c>
      <c r="K127" s="8">
        <v>4903</v>
      </c>
      <c r="L127" s="8">
        <v>4537</v>
      </c>
      <c r="M127" s="8">
        <v>3578</v>
      </c>
      <c r="N127" s="8">
        <v>5681</v>
      </c>
      <c r="O127" s="8">
        <v>3354</v>
      </c>
      <c r="P127" s="8">
        <v>6366</v>
      </c>
      <c r="Q127" s="8">
        <v>2755</v>
      </c>
      <c r="R127" s="8">
        <v>3206</v>
      </c>
      <c r="S127" s="8">
        <v>3588</v>
      </c>
      <c r="T127" s="8">
        <v>5161</v>
      </c>
      <c r="U127" s="8">
        <v>1727</v>
      </c>
      <c r="V127" s="8">
        <v>2495</v>
      </c>
      <c r="W127" s="8">
        <v>2829</v>
      </c>
      <c r="X127" s="8">
        <v>2890</v>
      </c>
      <c r="Y127" s="8">
        <v>2462</v>
      </c>
      <c r="Z127" s="8">
        <v>3509</v>
      </c>
      <c r="AA127" s="8">
        <v>3550</v>
      </c>
      <c r="AB127" s="8">
        <v>4753</v>
      </c>
      <c r="AC127" s="8">
        <v>4294</v>
      </c>
      <c r="AD127" s="8">
        <v>4838</v>
      </c>
      <c r="AE127" s="8">
        <v>5301</v>
      </c>
      <c r="AF127" s="8">
        <v>2388</v>
      </c>
      <c r="AG127" s="8">
        <v>3878</v>
      </c>
      <c r="AH127" s="8">
        <v>4170</v>
      </c>
      <c r="AI127" s="8">
        <v>4364</v>
      </c>
      <c r="AJ127" s="8">
        <v>3813</v>
      </c>
      <c r="AK127" s="8">
        <v>2742</v>
      </c>
      <c r="AL127" s="8">
        <v>3911</v>
      </c>
      <c r="AM127" s="8">
        <v>7812</v>
      </c>
      <c r="AN127" s="8">
        <v>3854</v>
      </c>
      <c r="AO127" s="8">
        <v>4765</v>
      </c>
      <c r="AP127" s="8">
        <v>4593</v>
      </c>
      <c r="AQ127" s="8">
        <v>3252</v>
      </c>
      <c r="AR127" s="8">
        <v>3754</v>
      </c>
      <c r="AS127" s="8">
        <v>7477</v>
      </c>
      <c r="AT127" s="8">
        <v>3549</v>
      </c>
      <c r="AU127" s="8">
        <v>3640</v>
      </c>
      <c r="AV127" s="8">
        <v>4398</v>
      </c>
      <c r="AW127" s="8">
        <v>3142</v>
      </c>
      <c r="AX127" s="8">
        <v>2376</v>
      </c>
      <c r="AY127" s="8">
        <v>4478</v>
      </c>
      <c r="AZ127" s="8">
        <v>4427</v>
      </c>
      <c r="BA127" s="8">
        <v>2699</v>
      </c>
      <c r="BB127" s="8">
        <v>4612</v>
      </c>
      <c r="BC127" s="8">
        <v>3917</v>
      </c>
      <c r="BD127" s="8">
        <v>4459</v>
      </c>
      <c r="BE127" s="8">
        <v>6037</v>
      </c>
      <c r="BF127" s="8">
        <v>4973</v>
      </c>
      <c r="BG127" s="8">
        <v>3686</v>
      </c>
      <c r="BH127" s="8">
        <v>3728</v>
      </c>
      <c r="BI127" s="8">
        <v>2590</v>
      </c>
      <c r="BJ127" s="8">
        <v>2236</v>
      </c>
      <c r="BK127" s="8">
        <v>4063</v>
      </c>
      <c r="BL127" s="8">
        <v>6850</v>
      </c>
      <c r="BM127" s="8">
        <v>6812</v>
      </c>
      <c r="BN127" s="8">
        <v>3569</v>
      </c>
      <c r="BO127" s="8">
        <v>3328</v>
      </c>
      <c r="BP127" s="8">
        <v>3602</v>
      </c>
      <c r="BQ127" s="8">
        <v>4827</v>
      </c>
      <c r="BR127" s="8">
        <v>5747</v>
      </c>
      <c r="BS127" s="8">
        <v>4594</v>
      </c>
      <c r="BT127" s="8">
        <v>3164</v>
      </c>
      <c r="BU127" s="8">
        <v>2696</v>
      </c>
      <c r="BV127" s="8">
        <v>3365</v>
      </c>
      <c r="BW127" s="8">
        <v>4848</v>
      </c>
      <c r="BX127" s="8">
        <v>5005</v>
      </c>
      <c r="BY127" s="8">
        <v>5299</v>
      </c>
      <c r="BZ127" s="8">
        <v>2893</v>
      </c>
      <c r="CA127" s="8">
        <v>2630</v>
      </c>
      <c r="CB127" s="8">
        <v>3470</v>
      </c>
      <c r="CC127" s="8">
        <v>3830</v>
      </c>
      <c r="CD127" s="8">
        <v>3341</v>
      </c>
      <c r="CE127" s="8">
        <v>4529</v>
      </c>
      <c r="CF127" s="8">
        <v>3393</v>
      </c>
      <c r="CG127" s="8">
        <v>3346</v>
      </c>
      <c r="CH127" s="8">
        <v>2249</v>
      </c>
      <c r="CJ127" s="9"/>
      <c r="CK127" s="9"/>
      <c r="CL127" s="9"/>
      <c r="CM127" s="9"/>
      <c r="CN127" s="9"/>
      <c r="CO127" s="9"/>
      <c r="CP127" s="9"/>
      <c r="CQ127" s="9"/>
      <c r="CR127" s="9"/>
      <c r="CS127" s="9"/>
      <c r="CT127" s="9"/>
      <c r="CU127" s="9"/>
      <c r="CV127" s="9"/>
      <c r="CW127" s="9"/>
      <c r="CX127" s="9"/>
      <c r="CY127" s="9"/>
      <c r="CZ127" s="9"/>
      <c r="DA127" s="9"/>
      <c r="DB127" s="9"/>
      <c r="DC127" s="9"/>
      <c r="DD127" s="9"/>
      <c r="DE127" s="9"/>
      <c r="DF127" s="9"/>
      <c r="DG127" s="9"/>
      <c r="DH127" s="9"/>
      <c r="DI127" s="9"/>
      <c r="DJ127" s="9"/>
      <c r="DK127" s="9"/>
      <c r="DL127" s="9"/>
      <c r="DM127" s="9"/>
      <c r="DN127" s="9"/>
      <c r="DO127" s="9"/>
      <c r="DP127" s="9"/>
      <c r="DQ127" s="9"/>
      <c r="DR127" s="9"/>
      <c r="DS127" s="9"/>
      <c r="DT127" s="9"/>
      <c r="DU127" s="9"/>
      <c r="DV127" s="9"/>
      <c r="DW127" s="9"/>
      <c r="DX127" s="9"/>
      <c r="DY127" s="9"/>
      <c r="DZ127" s="9"/>
      <c r="EA127" s="9"/>
      <c r="EB127" s="9"/>
      <c r="EC127" s="9"/>
      <c r="ED127" s="9"/>
      <c r="EE127" s="9"/>
      <c r="EF127" s="9"/>
      <c r="EG127" s="9"/>
      <c r="EH127" s="9"/>
      <c r="EI127" s="9"/>
      <c r="EJ127" s="9"/>
      <c r="EK127" s="9"/>
      <c r="EL127" s="9"/>
      <c r="EM127" s="9"/>
      <c r="EN127" s="9"/>
      <c r="EO127" s="9"/>
      <c r="EP127" s="9"/>
      <c r="EQ127" s="9"/>
      <c r="ER127" s="9"/>
      <c r="ES127" s="9"/>
      <c r="ET127" s="9"/>
      <c r="EU127" s="9"/>
      <c r="EV127" s="9"/>
      <c r="EW127" s="9"/>
      <c r="EX127" s="9"/>
      <c r="EY127" s="9"/>
      <c r="EZ127" s="9"/>
      <c r="FA127" s="9"/>
      <c r="FB127" s="9"/>
      <c r="FC127" s="9"/>
      <c r="FD127" s="9"/>
      <c r="FE127" s="9"/>
      <c r="FF127" s="9"/>
      <c r="FG127" s="9"/>
      <c r="FH127" s="9"/>
      <c r="FI127" s="9"/>
    </row>
    <row r="128" spans="1:165" x14ac:dyDescent="0.2">
      <c r="A128" s="1" t="s">
        <v>855</v>
      </c>
      <c r="B128" s="1" t="s">
        <v>856</v>
      </c>
      <c r="C128" s="1" t="s">
        <v>453</v>
      </c>
      <c r="D128" s="1" t="str">
        <f>HYPERLINK("http://eros.fiehnlab.ucdavis.edu:8080/binbase-compound/bin/show/317187?db=rtx5","317187")</f>
        <v>317187</v>
      </c>
      <c r="E128" s="1" t="s">
        <v>857</v>
      </c>
      <c r="F128" s="1" t="s">
        <v>184</v>
      </c>
      <c r="G128" s="1" t="s">
        <v>184</v>
      </c>
      <c r="H128" s="1"/>
      <c r="I128" s="8">
        <v>1387</v>
      </c>
      <c r="J128" s="8">
        <v>1333</v>
      </c>
      <c r="K128" s="8">
        <v>1452</v>
      </c>
      <c r="L128" s="8">
        <v>134</v>
      </c>
      <c r="M128" s="8">
        <v>1697</v>
      </c>
      <c r="N128" s="8">
        <v>1563</v>
      </c>
      <c r="O128" s="8">
        <v>4498</v>
      </c>
      <c r="P128" s="8">
        <v>5665</v>
      </c>
      <c r="Q128" s="8">
        <v>5376</v>
      </c>
      <c r="R128" s="8">
        <v>5326</v>
      </c>
      <c r="S128" s="8">
        <v>5280</v>
      </c>
      <c r="T128" s="8">
        <v>1898</v>
      </c>
      <c r="U128" s="8">
        <v>2599</v>
      </c>
      <c r="V128" s="8">
        <v>2051</v>
      </c>
      <c r="W128" s="8">
        <v>2636</v>
      </c>
      <c r="X128" s="8">
        <v>1798</v>
      </c>
      <c r="Y128" s="8">
        <v>2459</v>
      </c>
      <c r="Z128" s="8">
        <v>2764</v>
      </c>
      <c r="AA128" s="8">
        <v>1752</v>
      </c>
      <c r="AB128" s="8">
        <v>3031</v>
      </c>
      <c r="AC128" s="8">
        <v>3628</v>
      </c>
      <c r="AD128" s="8">
        <v>2347</v>
      </c>
      <c r="AE128" s="8">
        <v>3963</v>
      </c>
      <c r="AF128" s="8">
        <v>2205</v>
      </c>
      <c r="AG128" s="8">
        <v>1378</v>
      </c>
      <c r="AH128" s="8">
        <v>3994</v>
      </c>
      <c r="AI128" s="8">
        <v>1281</v>
      </c>
      <c r="AJ128" s="8">
        <v>3766</v>
      </c>
      <c r="AK128" s="8">
        <v>2067</v>
      </c>
      <c r="AL128" s="8">
        <v>4481</v>
      </c>
      <c r="AM128" s="8">
        <v>5268</v>
      </c>
      <c r="AN128" s="8">
        <v>5377</v>
      </c>
      <c r="AO128" s="8">
        <v>3637</v>
      </c>
      <c r="AP128" s="8">
        <v>5044</v>
      </c>
      <c r="AQ128" s="8">
        <v>5299</v>
      </c>
      <c r="AR128" s="8">
        <v>4455</v>
      </c>
      <c r="AS128" s="8">
        <v>943</v>
      </c>
      <c r="AT128" s="8">
        <v>771</v>
      </c>
      <c r="AU128" s="8">
        <v>886</v>
      </c>
      <c r="AV128" s="8">
        <v>820</v>
      </c>
      <c r="AW128" s="8">
        <v>705</v>
      </c>
      <c r="AX128" s="8">
        <v>956</v>
      </c>
      <c r="AY128" s="8">
        <v>457</v>
      </c>
      <c r="AZ128" s="8">
        <v>483</v>
      </c>
      <c r="BA128" s="8">
        <v>343</v>
      </c>
      <c r="BB128" s="8">
        <v>349</v>
      </c>
      <c r="BC128" s="8">
        <v>476</v>
      </c>
      <c r="BD128" s="8">
        <v>518</v>
      </c>
      <c r="BE128" s="8">
        <v>621</v>
      </c>
      <c r="BF128" s="8">
        <v>2029</v>
      </c>
      <c r="BG128" s="8">
        <v>454</v>
      </c>
      <c r="BH128" s="8">
        <v>622</v>
      </c>
      <c r="BI128" s="8">
        <v>655</v>
      </c>
      <c r="BJ128" s="8">
        <v>459</v>
      </c>
      <c r="BK128" s="8">
        <v>3434</v>
      </c>
      <c r="BL128" s="8">
        <v>2847</v>
      </c>
      <c r="BM128" s="8">
        <v>3297</v>
      </c>
      <c r="BN128" s="8">
        <v>2897</v>
      </c>
      <c r="BO128" s="8">
        <v>2971</v>
      </c>
      <c r="BP128" s="8">
        <v>1858</v>
      </c>
      <c r="BQ128" s="8">
        <v>2820</v>
      </c>
      <c r="BR128" s="8">
        <v>2974</v>
      </c>
      <c r="BS128" s="8">
        <v>2688</v>
      </c>
      <c r="BT128" s="8">
        <v>2213</v>
      </c>
      <c r="BU128" s="8">
        <v>2734</v>
      </c>
      <c r="BV128" s="8">
        <v>2431</v>
      </c>
      <c r="BW128" s="8">
        <v>3319</v>
      </c>
      <c r="BX128" s="8">
        <v>3093</v>
      </c>
      <c r="BY128" s="8">
        <v>2729</v>
      </c>
      <c r="BZ128" s="8">
        <v>2942</v>
      </c>
      <c r="CA128" s="8">
        <v>2781</v>
      </c>
      <c r="CB128" s="8">
        <v>2800</v>
      </c>
      <c r="CC128" s="8">
        <v>2240</v>
      </c>
      <c r="CD128" s="8">
        <v>1545</v>
      </c>
      <c r="CE128" s="8">
        <v>1913</v>
      </c>
      <c r="CF128" s="8">
        <v>2419</v>
      </c>
      <c r="CG128" s="8">
        <v>1665</v>
      </c>
      <c r="CH128" s="8">
        <v>2619</v>
      </c>
      <c r="CJ128" s="9"/>
      <c r="CK128" s="9"/>
      <c r="CL128" s="9"/>
      <c r="CM128" s="9"/>
      <c r="CN128" s="9"/>
      <c r="CO128" s="9"/>
      <c r="CP128" s="9"/>
      <c r="CQ128" s="9"/>
      <c r="CR128" s="9"/>
      <c r="CS128" s="9"/>
      <c r="CT128" s="9"/>
      <c r="CU128" s="9"/>
      <c r="CV128" s="9"/>
      <c r="CW128" s="9"/>
      <c r="CX128" s="9"/>
      <c r="CY128" s="9"/>
      <c r="CZ128" s="9"/>
      <c r="DA128" s="9"/>
      <c r="DB128" s="9"/>
      <c r="DC128" s="9"/>
      <c r="DD128" s="9"/>
      <c r="DE128" s="9"/>
      <c r="DF128" s="9"/>
      <c r="DG128" s="9"/>
      <c r="DH128" s="9"/>
      <c r="DI128" s="9"/>
      <c r="DJ128" s="9"/>
      <c r="DK128" s="9"/>
      <c r="DL128" s="9"/>
      <c r="DM128" s="9"/>
      <c r="DN128" s="9"/>
      <c r="DO128" s="9"/>
      <c r="DP128" s="9"/>
      <c r="DQ128" s="9"/>
      <c r="DR128" s="9"/>
      <c r="DS128" s="9"/>
      <c r="DT128" s="9"/>
      <c r="DU128" s="9"/>
      <c r="DV128" s="9"/>
      <c r="DW128" s="9"/>
      <c r="DX128" s="9"/>
      <c r="DY128" s="9"/>
      <c r="DZ128" s="9"/>
      <c r="EA128" s="9"/>
      <c r="EB128" s="9"/>
      <c r="EC128" s="9"/>
      <c r="ED128" s="9"/>
      <c r="EE128" s="9"/>
      <c r="EF128" s="9"/>
      <c r="EG128" s="9"/>
      <c r="EH128" s="9"/>
      <c r="EI128" s="9"/>
      <c r="EJ128" s="9"/>
      <c r="EK128" s="9"/>
      <c r="EL128" s="9"/>
      <c r="EM128" s="9"/>
      <c r="EN128" s="9"/>
      <c r="EO128" s="9"/>
      <c r="EP128" s="9"/>
      <c r="EQ128" s="9"/>
      <c r="ER128" s="9"/>
      <c r="ES128" s="9"/>
      <c r="ET128" s="9"/>
      <c r="EU128" s="9"/>
      <c r="EV128" s="9"/>
      <c r="EW128" s="9"/>
      <c r="EX128" s="9"/>
      <c r="EY128" s="9"/>
      <c r="EZ128" s="9"/>
      <c r="FA128" s="9"/>
      <c r="FB128" s="9"/>
      <c r="FC128" s="9"/>
      <c r="FD128" s="9"/>
      <c r="FE128" s="9"/>
      <c r="FF128" s="9"/>
      <c r="FG128" s="9"/>
      <c r="FH128" s="9"/>
      <c r="FI128" s="9"/>
    </row>
    <row r="129" spans="1:165" x14ac:dyDescent="0.2">
      <c r="A129" s="1" t="s">
        <v>1048</v>
      </c>
      <c r="B129" s="1" t="s">
        <v>1049</v>
      </c>
      <c r="C129" s="1" t="s">
        <v>987</v>
      </c>
      <c r="D129" s="1" t="str">
        <f>HYPERLINK("http://eros.fiehnlab.ucdavis.edu:8080/binbase-compound/bin/show/242417?db=rtx5","242417")</f>
        <v>242417</v>
      </c>
      <c r="E129" s="1" t="s">
        <v>1050</v>
      </c>
      <c r="F129" s="1" t="s">
        <v>184</v>
      </c>
      <c r="G129" s="1" t="s">
        <v>184</v>
      </c>
      <c r="H129" s="1"/>
      <c r="I129" s="8">
        <v>2589</v>
      </c>
      <c r="J129" s="8">
        <v>2274</v>
      </c>
      <c r="K129" s="8">
        <v>2241</v>
      </c>
      <c r="L129" s="8">
        <v>2080</v>
      </c>
      <c r="M129" s="8">
        <v>2785</v>
      </c>
      <c r="N129" s="8">
        <v>2563</v>
      </c>
      <c r="O129" s="8">
        <v>2211</v>
      </c>
      <c r="P129" s="8">
        <v>2400</v>
      </c>
      <c r="Q129" s="8">
        <v>2701</v>
      </c>
      <c r="R129" s="8">
        <v>2795</v>
      </c>
      <c r="S129" s="8">
        <v>3068</v>
      </c>
      <c r="T129" s="8">
        <v>1943</v>
      </c>
      <c r="U129" s="8">
        <v>2904</v>
      </c>
      <c r="V129" s="8">
        <v>2626</v>
      </c>
      <c r="W129" s="8">
        <v>2295</v>
      </c>
      <c r="X129" s="8">
        <v>2895</v>
      </c>
      <c r="Y129" s="8">
        <v>1876</v>
      </c>
      <c r="Z129" s="8">
        <v>2310</v>
      </c>
      <c r="AA129" s="8">
        <v>1450</v>
      </c>
      <c r="AB129" s="8">
        <v>2195</v>
      </c>
      <c r="AC129" s="8">
        <v>2069</v>
      </c>
      <c r="AD129" s="8">
        <v>2155</v>
      </c>
      <c r="AE129" s="8">
        <v>2647</v>
      </c>
      <c r="AF129" s="8">
        <v>1768</v>
      </c>
      <c r="AG129" s="8">
        <v>2023</v>
      </c>
      <c r="AH129" s="8">
        <v>2219</v>
      </c>
      <c r="AI129" s="8">
        <v>1978</v>
      </c>
      <c r="AJ129" s="8">
        <v>2483</v>
      </c>
      <c r="AK129" s="8">
        <v>2111</v>
      </c>
      <c r="AL129" s="8">
        <v>2985</v>
      </c>
      <c r="AM129" s="8">
        <v>3369</v>
      </c>
      <c r="AN129" s="8">
        <v>2689</v>
      </c>
      <c r="AO129" s="8">
        <v>2532</v>
      </c>
      <c r="AP129" s="8">
        <v>3015</v>
      </c>
      <c r="AQ129" s="8">
        <v>2555</v>
      </c>
      <c r="AR129" s="8">
        <v>2160</v>
      </c>
      <c r="AS129" s="8">
        <v>2269</v>
      </c>
      <c r="AT129" s="8">
        <v>2754</v>
      </c>
      <c r="AU129" s="8">
        <v>2366</v>
      </c>
      <c r="AV129" s="8">
        <v>2224</v>
      </c>
      <c r="AW129" s="8">
        <v>2734</v>
      </c>
      <c r="AX129" s="8">
        <v>2140</v>
      </c>
      <c r="AY129" s="8">
        <v>2522</v>
      </c>
      <c r="AZ129" s="8">
        <v>2736</v>
      </c>
      <c r="BA129" s="8">
        <v>3199</v>
      </c>
      <c r="BB129" s="8">
        <v>2674</v>
      </c>
      <c r="BC129" s="8">
        <v>2760</v>
      </c>
      <c r="BD129" s="8">
        <v>3073</v>
      </c>
      <c r="BE129" s="8">
        <v>2290</v>
      </c>
      <c r="BF129" s="8">
        <v>2259</v>
      </c>
      <c r="BG129" s="8">
        <v>2206</v>
      </c>
      <c r="BH129" s="8">
        <v>1867</v>
      </c>
      <c r="BI129" s="8">
        <v>2322</v>
      </c>
      <c r="BJ129" s="8">
        <v>2242</v>
      </c>
      <c r="BK129" s="8">
        <v>2655</v>
      </c>
      <c r="BL129" s="8">
        <v>2562</v>
      </c>
      <c r="BM129" s="8">
        <v>2554</v>
      </c>
      <c r="BN129" s="8">
        <v>2029</v>
      </c>
      <c r="BO129" s="8">
        <v>2636</v>
      </c>
      <c r="BP129" s="8">
        <v>2863</v>
      </c>
      <c r="BQ129" s="8">
        <v>2285</v>
      </c>
      <c r="BR129" s="8">
        <v>2152</v>
      </c>
      <c r="BS129" s="8">
        <v>2262</v>
      </c>
      <c r="BT129" s="8">
        <v>2368</v>
      </c>
      <c r="BU129" s="8">
        <v>2096</v>
      </c>
      <c r="BV129" s="8">
        <v>2620</v>
      </c>
      <c r="BW129" s="8">
        <v>2699</v>
      </c>
      <c r="BX129" s="8">
        <v>2161</v>
      </c>
      <c r="BY129" s="8">
        <v>2324</v>
      </c>
      <c r="BZ129" s="8">
        <v>2423</v>
      </c>
      <c r="CA129" s="8">
        <v>2501</v>
      </c>
      <c r="CB129" s="8">
        <v>1874</v>
      </c>
      <c r="CC129" s="8">
        <v>1925</v>
      </c>
      <c r="CD129" s="8">
        <v>1849</v>
      </c>
      <c r="CE129" s="8">
        <v>2070</v>
      </c>
      <c r="CF129" s="8">
        <v>1766</v>
      </c>
      <c r="CG129" s="8">
        <v>1954</v>
      </c>
      <c r="CH129" s="8">
        <v>2407</v>
      </c>
      <c r="CJ129" s="9"/>
      <c r="CK129" s="9"/>
      <c r="CL129" s="9"/>
      <c r="CM129" s="9"/>
      <c r="CN129" s="9"/>
      <c r="CO129" s="9"/>
      <c r="CP129" s="9"/>
      <c r="CQ129" s="9"/>
      <c r="CR129" s="9"/>
      <c r="CS129" s="9"/>
      <c r="CT129" s="9"/>
      <c r="CU129" s="9"/>
      <c r="CV129" s="9"/>
      <c r="CW129" s="9"/>
      <c r="CX129" s="9"/>
      <c r="CY129" s="9"/>
      <c r="CZ129" s="9"/>
      <c r="DA129" s="9"/>
      <c r="DB129" s="9"/>
      <c r="DC129" s="9"/>
      <c r="DD129" s="9"/>
      <c r="DE129" s="9"/>
      <c r="DF129" s="9"/>
      <c r="DG129" s="9"/>
      <c r="DH129" s="9"/>
      <c r="DI129" s="9"/>
      <c r="DJ129" s="9"/>
      <c r="DK129" s="9"/>
      <c r="DL129" s="9"/>
      <c r="DM129" s="9"/>
      <c r="DN129" s="9"/>
      <c r="DO129" s="9"/>
      <c r="DP129" s="9"/>
      <c r="DQ129" s="9"/>
      <c r="DR129" s="9"/>
      <c r="DS129" s="9"/>
      <c r="DT129" s="9"/>
      <c r="DU129" s="9"/>
      <c r="DV129" s="9"/>
      <c r="DW129" s="9"/>
      <c r="DX129" s="9"/>
      <c r="DY129" s="9"/>
      <c r="DZ129" s="9"/>
      <c r="EA129" s="9"/>
      <c r="EB129" s="9"/>
      <c r="EC129" s="9"/>
      <c r="ED129" s="9"/>
      <c r="EE129" s="9"/>
      <c r="EF129" s="9"/>
      <c r="EG129" s="9"/>
      <c r="EH129" s="9"/>
      <c r="EI129" s="9"/>
      <c r="EJ129" s="9"/>
      <c r="EK129" s="9"/>
      <c r="EL129" s="9"/>
      <c r="EM129" s="9"/>
      <c r="EN129" s="9"/>
      <c r="EO129" s="9"/>
      <c r="EP129" s="9"/>
      <c r="EQ129" s="9"/>
      <c r="ER129" s="9"/>
      <c r="ES129" s="9"/>
      <c r="ET129" s="9"/>
      <c r="EU129" s="9"/>
      <c r="EV129" s="9"/>
      <c r="EW129" s="9"/>
      <c r="EX129" s="9"/>
      <c r="EY129" s="9"/>
      <c r="EZ129" s="9"/>
      <c r="FA129" s="9"/>
      <c r="FB129" s="9"/>
      <c r="FC129" s="9"/>
      <c r="FD129" s="9"/>
      <c r="FE129" s="9"/>
      <c r="FF129" s="9"/>
      <c r="FG129" s="9"/>
      <c r="FH129" s="9"/>
      <c r="FI129" s="9"/>
    </row>
    <row r="130" spans="1:165" x14ac:dyDescent="0.2">
      <c r="A130" s="1" t="s">
        <v>1326</v>
      </c>
      <c r="B130" s="1" t="s">
        <v>1327</v>
      </c>
      <c r="C130" s="1" t="s">
        <v>848</v>
      </c>
      <c r="D130" s="1" t="str">
        <f>HYPERLINK("http://eros.fiehnlab.ucdavis.edu:8080/binbase-compound/bin/show/206022?db=rtx5","206022")</f>
        <v>206022</v>
      </c>
      <c r="E130" s="1" t="s">
        <v>1328</v>
      </c>
      <c r="F130" s="1" t="s">
        <v>184</v>
      </c>
      <c r="G130" s="1" t="s">
        <v>184</v>
      </c>
      <c r="H130" s="1"/>
      <c r="I130" s="8">
        <v>3588</v>
      </c>
      <c r="J130" s="8">
        <v>2234</v>
      </c>
      <c r="K130" s="8">
        <v>2580</v>
      </c>
      <c r="L130" s="8">
        <v>2467</v>
      </c>
      <c r="M130" s="8">
        <v>5270</v>
      </c>
      <c r="N130" s="8">
        <v>4777</v>
      </c>
      <c r="O130" s="8">
        <v>2000</v>
      </c>
      <c r="P130" s="8">
        <v>3248</v>
      </c>
      <c r="Q130" s="8">
        <v>4878</v>
      </c>
      <c r="R130" s="8">
        <v>5579</v>
      </c>
      <c r="S130" s="8">
        <v>5572</v>
      </c>
      <c r="T130" s="8">
        <v>3912</v>
      </c>
      <c r="U130" s="8">
        <v>1906</v>
      </c>
      <c r="V130" s="8">
        <v>2192</v>
      </c>
      <c r="W130" s="8">
        <v>4299</v>
      </c>
      <c r="X130" s="8">
        <v>6158</v>
      </c>
      <c r="Y130" s="8">
        <v>3932</v>
      </c>
      <c r="Z130" s="8">
        <v>4974</v>
      </c>
      <c r="AA130" s="8">
        <v>1813</v>
      </c>
      <c r="AB130" s="8">
        <v>2449</v>
      </c>
      <c r="AC130" s="8">
        <v>2760</v>
      </c>
      <c r="AD130" s="8">
        <v>2680</v>
      </c>
      <c r="AE130" s="8">
        <v>5941</v>
      </c>
      <c r="AF130" s="8">
        <v>3550</v>
      </c>
      <c r="AG130" s="8">
        <v>1720</v>
      </c>
      <c r="AH130" s="8">
        <v>2340</v>
      </c>
      <c r="AI130" s="8">
        <v>2315</v>
      </c>
      <c r="AJ130" s="8">
        <v>6527</v>
      </c>
      <c r="AK130" s="8">
        <v>4226</v>
      </c>
      <c r="AL130" s="8">
        <v>5783</v>
      </c>
      <c r="AM130" s="8">
        <v>2993</v>
      </c>
      <c r="AN130" s="8">
        <v>2920</v>
      </c>
      <c r="AO130" s="8">
        <v>2866</v>
      </c>
      <c r="AP130" s="8">
        <v>6517</v>
      </c>
      <c r="AQ130" s="8">
        <v>4721</v>
      </c>
      <c r="AR130" s="8">
        <v>4555</v>
      </c>
      <c r="AS130" s="8">
        <v>2727</v>
      </c>
      <c r="AT130" s="8">
        <v>3464</v>
      </c>
      <c r="AU130" s="8">
        <v>2363</v>
      </c>
      <c r="AV130" s="8">
        <v>2422</v>
      </c>
      <c r="AW130" s="8">
        <v>5850</v>
      </c>
      <c r="AX130" s="8">
        <v>4132</v>
      </c>
      <c r="AY130" s="8">
        <v>2737</v>
      </c>
      <c r="AZ130" s="8">
        <v>5513</v>
      </c>
      <c r="BA130" s="8">
        <v>5913</v>
      </c>
      <c r="BB130" s="8">
        <v>6808</v>
      </c>
      <c r="BC130" s="8">
        <v>6226</v>
      </c>
      <c r="BD130" s="8">
        <v>5804</v>
      </c>
      <c r="BE130" s="8">
        <v>2725</v>
      </c>
      <c r="BF130" s="8">
        <v>2391</v>
      </c>
      <c r="BG130" s="8">
        <v>2138</v>
      </c>
      <c r="BH130" s="8">
        <v>1842</v>
      </c>
      <c r="BI130" s="8">
        <v>4321</v>
      </c>
      <c r="BJ130" s="8">
        <v>4654</v>
      </c>
      <c r="BK130" s="8">
        <v>3880</v>
      </c>
      <c r="BL130" s="8">
        <v>2956</v>
      </c>
      <c r="BM130" s="8">
        <v>3674</v>
      </c>
      <c r="BN130" s="8">
        <v>3711</v>
      </c>
      <c r="BO130" s="8">
        <v>5380</v>
      </c>
      <c r="BP130" s="8">
        <v>5954</v>
      </c>
      <c r="BQ130" s="8">
        <v>2731</v>
      </c>
      <c r="BR130" s="8">
        <v>2521</v>
      </c>
      <c r="BS130" s="8">
        <v>2017</v>
      </c>
      <c r="BT130" s="8">
        <v>4919</v>
      </c>
      <c r="BU130" s="8">
        <v>3944</v>
      </c>
      <c r="BV130" s="8">
        <v>5827</v>
      </c>
      <c r="BW130" s="8">
        <v>3157</v>
      </c>
      <c r="BX130" s="8">
        <v>2691</v>
      </c>
      <c r="BY130" s="8">
        <v>2555</v>
      </c>
      <c r="BZ130" s="8">
        <v>5921</v>
      </c>
      <c r="CA130" s="8">
        <v>5752</v>
      </c>
      <c r="CB130" s="8">
        <v>4188</v>
      </c>
      <c r="CC130" s="8">
        <v>2340</v>
      </c>
      <c r="CD130" s="8">
        <v>1865</v>
      </c>
      <c r="CE130" s="8">
        <v>2717</v>
      </c>
      <c r="CF130" s="8">
        <v>2203</v>
      </c>
      <c r="CG130" s="8">
        <v>4497</v>
      </c>
      <c r="CH130" s="8">
        <v>5278</v>
      </c>
      <c r="CJ130" s="9"/>
      <c r="CK130" s="9"/>
      <c r="CL130" s="9"/>
      <c r="CM130" s="9"/>
      <c r="CN130" s="9"/>
      <c r="CO130" s="9"/>
      <c r="CP130" s="9"/>
      <c r="CQ130" s="9"/>
      <c r="CR130" s="9"/>
      <c r="CS130" s="9"/>
      <c r="CT130" s="9"/>
      <c r="CU130" s="9"/>
      <c r="CV130" s="9"/>
      <c r="CW130" s="9"/>
      <c r="CX130" s="9"/>
      <c r="CY130" s="9"/>
      <c r="CZ130" s="9"/>
      <c r="DA130" s="9"/>
      <c r="DB130" s="9"/>
      <c r="DC130" s="9"/>
      <c r="DD130" s="9"/>
      <c r="DE130" s="9"/>
      <c r="DF130" s="9"/>
      <c r="DG130" s="9"/>
      <c r="DH130" s="9"/>
      <c r="DI130" s="9"/>
      <c r="DJ130" s="9"/>
      <c r="DK130" s="9"/>
      <c r="DL130" s="9"/>
      <c r="DM130" s="9"/>
      <c r="DN130" s="9"/>
      <c r="DO130" s="9"/>
      <c r="DP130" s="9"/>
      <c r="DQ130" s="9"/>
      <c r="DR130" s="9"/>
      <c r="DS130" s="9"/>
      <c r="DT130" s="9"/>
      <c r="DU130" s="9"/>
      <c r="DV130" s="9"/>
      <c r="DW130" s="9"/>
      <c r="DX130" s="9"/>
      <c r="DY130" s="9"/>
      <c r="DZ130" s="9"/>
      <c r="EA130" s="9"/>
      <c r="EB130" s="9"/>
      <c r="EC130" s="9"/>
      <c r="ED130" s="9"/>
      <c r="EE130" s="9"/>
      <c r="EF130" s="9"/>
      <c r="EG130" s="9"/>
      <c r="EH130" s="9"/>
      <c r="EI130" s="9"/>
      <c r="EJ130" s="9"/>
      <c r="EK130" s="9"/>
      <c r="EL130" s="9"/>
      <c r="EM130" s="9"/>
      <c r="EN130" s="9"/>
      <c r="EO130" s="9"/>
      <c r="EP130" s="9"/>
      <c r="EQ130" s="9"/>
      <c r="ER130" s="9"/>
      <c r="ES130" s="9"/>
      <c r="ET130" s="9"/>
      <c r="EU130" s="9"/>
      <c r="EV130" s="9"/>
      <c r="EW130" s="9"/>
      <c r="EX130" s="9"/>
      <c r="EY130" s="9"/>
      <c r="EZ130" s="9"/>
      <c r="FA130" s="9"/>
      <c r="FB130" s="9"/>
      <c r="FC130" s="9"/>
      <c r="FD130" s="9"/>
      <c r="FE130" s="9"/>
      <c r="FF130" s="9"/>
      <c r="FG130" s="9"/>
      <c r="FH130" s="9"/>
      <c r="FI130" s="9"/>
    </row>
    <row r="131" spans="1:165" x14ac:dyDescent="0.2">
      <c r="A131" s="1" t="s">
        <v>1361</v>
      </c>
      <c r="B131" s="1" t="s">
        <v>1362</v>
      </c>
      <c r="C131" s="1" t="s">
        <v>336</v>
      </c>
      <c r="D131" s="1" t="str">
        <f>HYPERLINK("http://eros.fiehnlab.ucdavis.edu:8080/binbase-compound/bin/show/201042?db=rtx5","201042")</f>
        <v>201042</v>
      </c>
      <c r="E131" s="1" t="s">
        <v>1363</v>
      </c>
      <c r="F131" s="1" t="s">
        <v>184</v>
      </c>
      <c r="G131" s="1" t="s">
        <v>184</v>
      </c>
      <c r="H131" s="1"/>
      <c r="I131" s="8">
        <v>92685</v>
      </c>
      <c r="J131" s="8">
        <v>54034</v>
      </c>
      <c r="K131" s="8">
        <v>51975</v>
      </c>
      <c r="L131" s="8">
        <v>38335</v>
      </c>
      <c r="M131" s="8">
        <v>109085</v>
      </c>
      <c r="N131" s="8">
        <v>64608</v>
      </c>
      <c r="O131" s="8">
        <v>43823</v>
      </c>
      <c r="P131" s="8">
        <v>57464</v>
      </c>
      <c r="Q131" s="8">
        <v>114044</v>
      </c>
      <c r="R131" s="8">
        <v>99363</v>
      </c>
      <c r="S131" s="8">
        <v>97454</v>
      </c>
      <c r="T131" s="8">
        <v>54989</v>
      </c>
      <c r="U131" s="8">
        <v>20690</v>
      </c>
      <c r="V131" s="8">
        <v>54898</v>
      </c>
      <c r="W131" s="8">
        <v>90354</v>
      </c>
      <c r="X131" s="8">
        <v>99984</v>
      </c>
      <c r="Y131" s="8">
        <v>67574</v>
      </c>
      <c r="Z131" s="8">
        <v>67695</v>
      </c>
      <c r="AA131" s="8">
        <v>31143</v>
      </c>
      <c r="AB131" s="8">
        <v>53246</v>
      </c>
      <c r="AC131" s="8">
        <v>39555</v>
      </c>
      <c r="AD131" s="8">
        <v>38578</v>
      </c>
      <c r="AE131" s="8">
        <v>102747</v>
      </c>
      <c r="AF131" s="8">
        <v>62328</v>
      </c>
      <c r="AG131" s="8">
        <v>30879</v>
      </c>
      <c r="AH131" s="8">
        <v>53439</v>
      </c>
      <c r="AI131" s="8">
        <v>47527</v>
      </c>
      <c r="AJ131" s="8">
        <v>109622</v>
      </c>
      <c r="AK131" s="8">
        <v>72772</v>
      </c>
      <c r="AL131" s="8">
        <v>91298</v>
      </c>
      <c r="AM131" s="8">
        <v>87503</v>
      </c>
      <c r="AN131" s="8">
        <v>80879</v>
      </c>
      <c r="AO131" s="8">
        <v>50724</v>
      </c>
      <c r="AP131" s="8">
        <v>124265</v>
      </c>
      <c r="AQ131" s="8">
        <v>83624</v>
      </c>
      <c r="AR131" s="8">
        <v>58392</v>
      </c>
      <c r="AS131" s="8">
        <v>60421</v>
      </c>
      <c r="AT131" s="8">
        <v>66223</v>
      </c>
      <c r="AU131" s="8">
        <v>47877</v>
      </c>
      <c r="AV131" s="8">
        <v>47869</v>
      </c>
      <c r="AW131" s="8">
        <v>102431</v>
      </c>
      <c r="AX131" s="8">
        <v>77329</v>
      </c>
      <c r="AY131" s="8">
        <v>39482</v>
      </c>
      <c r="AZ131" s="8">
        <v>99112</v>
      </c>
      <c r="BA131" s="8">
        <v>96292</v>
      </c>
      <c r="BB131" s="8">
        <v>89492</v>
      </c>
      <c r="BC131" s="8">
        <v>83296</v>
      </c>
      <c r="BD131" s="8">
        <v>79012</v>
      </c>
      <c r="BE131" s="8">
        <v>76598</v>
      </c>
      <c r="BF131" s="8">
        <v>61474</v>
      </c>
      <c r="BG131" s="8">
        <v>45259</v>
      </c>
      <c r="BH131" s="8">
        <v>38574</v>
      </c>
      <c r="BI131" s="8">
        <v>86656</v>
      </c>
      <c r="BJ131" s="8">
        <v>77121</v>
      </c>
      <c r="BK131" s="8">
        <v>70941</v>
      </c>
      <c r="BL131" s="8">
        <v>58649</v>
      </c>
      <c r="BM131" s="8">
        <v>53556</v>
      </c>
      <c r="BN131" s="8">
        <v>80161</v>
      </c>
      <c r="BO131" s="8">
        <v>103457</v>
      </c>
      <c r="BP131" s="8">
        <v>118528</v>
      </c>
      <c r="BQ131" s="8">
        <v>53719</v>
      </c>
      <c r="BR131" s="8">
        <v>69941</v>
      </c>
      <c r="BS131" s="8">
        <v>61452</v>
      </c>
      <c r="BT131" s="8">
        <v>95571</v>
      </c>
      <c r="BU131" s="8">
        <v>76471</v>
      </c>
      <c r="BV131" s="8">
        <v>68881</v>
      </c>
      <c r="BW131" s="8">
        <v>56272</v>
      </c>
      <c r="BX131" s="8">
        <v>40613</v>
      </c>
      <c r="BY131" s="8">
        <v>34840</v>
      </c>
      <c r="BZ131" s="8">
        <v>90241</v>
      </c>
      <c r="CA131" s="8">
        <v>91796</v>
      </c>
      <c r="CB131" s="8">
        <v>46372</v>
      </c>
      <c r="CC131" s="8">
        <v>55998</v>
      </c>
      <c r="CD131" s="8">
        <v>50623</v>
      </c>
      <c r="CE131" s="8">
        <v>61683</v>
      </c>
      <c r="CF131" s="8">
        <v>27767</v>
      </c>
      <c r="CG131" s="8">
        <v>80537</v>
      </c>
      <c r="CH131" s="8">
        <v>82587</v>
      </c>
      <c r="CJ131" s="9"/>
      <c r="CK131" s="9"/>
      <c r="CL131" s="9"/>
      <c r="CM131" s="9"/>
      <c r="CN131" s="9"/>
      <c r="CO131" s="9"/>
      <c r="CP131" s="9"/>
      <c r="CQ131" s="9"/>
      <c r="CR131" s="9"/>
      <c r="CS131" s="9"/>
      <c r="CT131" s="9"/>
      <c r="CU131" s="9"/>
      <c r="CV131" s="9"/>
      <c r="CW131" s="9"/>
      <c r="CX131" s="9"/>
      <c r="CY131" s="9"/>
      <c r="CZ131" s="9"/>
      <c r="DA131" s="9"/>
      <c r="DB131" s="9"/>
      <c r="DC131" s="9"/>
      <c r="DD131" s="9"/>
      <c r="DE131" s="9"/>
      <c r="DF131" s="9"/>
      <c r="DG131" s="9"/>
      <c r="DH131" s="9"/>
      <c r="DI131" s="9"/>
      <c r="DJ131" s="9"/>
      <c r="DK131" s="9"/>
      <c r="DL131" s="9"/>
      <c r="DM131" s="9"/>
      <c r="DN131" s="9"/>
      <c r="DO131" s="9"/>
      <c r="DP131" s="9"/>
      <c r="DQ131" s="9"/>
      <c r="DR131" s="9"/>
      <c r="DS131" s="9"/>
      <c r="DT131" s="9"/>
      <c r="DU131" s="9"/>
      <c r="DV131" s="9"/>
      <c r="DW131" s="9"/>
      <c r="DX131" s="9"/>
      <c r="DY131" s="9"/>
      <c r="DZ131" s="9"/>
      <c r="EA131" s="9"/>
      <c r="EB131" s="9"/>
      <c r="EC131" s="9"/>
      <c r="ED131" s="9"/>
      <c r="EE131" s="9"/>
      <c r="EF131" s="9"/>
      <c r="EG131" s="9"/>
      <c r="EH131" s="9"/>
      <c r="EI131" s="9"/>
      <c r="EJ131" s="9"/>
      <c r="EK131" s="9"/>
      <c r="EL131" s="9"/>
      <c r="EM131" s="9"/>
      <c r="EN131" s="9"/>
      <c r="EO131" s="9"/>
      <c r="EP131" s="9"/>
      <c r="EQ131" s="9"/>
      <c r="ER131" s="9"/>
      <c r="ES131" s="9"/>
      <c r="ET131" s="9"/>
      <c r="EU131" s="9"/>
      <c r="EV131" s="9"/>
      <c r="EW131" s="9"/>
      <c r="EX131" s="9"/>
      <c r="EY131" s="9"/>
      <c r="EZ131" s="9"/>
      <c r="FA131" s="9"/>
      <c r="FB131" s="9"/>
      <c r="FC131" s="9"/>
      <c r="FD131" s="9"/>
      <c r="FE131" s="9"/>
      <c r="FF131" s="9"/>
      <c r="FG131" s="9"/>
      <c r="FH131" s="9"/>
      <c r="FI131" s="9"/>
    </row>
    <row r="132" spans="1:165" x14ac:dyDescent="0.2">
      <c r="A132" s="1" t="s">
        <v>1400</v>
      </c>
      <c r="B132" s="1" t="s">
        <v>1401</v>
      </c>
      <c r="C132" s="1" t="s">
        <v>294</v>
      </c>
      <c r="D132" s="1" t="str">
        <f>HYPERLINK("http://eros.fiehnlab.ucdavis.edu:8080/binbase-compound/bin/show/199786?db=rtx5","199786")</f>
        <v>199786</v>
      </c>
      <c r="E132" s="1" t="s">
        <v>1402</v>
      </c>
      <c r="F132" s="1" t="s">
        <v>184</v>
      </c>
      <c r="G132" s="1" t="s">
        <v>184</v>
      </c>
      <c r="H132" s="1"/>
      <c r="I132" s="8">
        <v>3810</v>
      </c>
      <c r="J132" s="8">
        <v>2549</v>
      </c>
      <c r="K132" s="8">
        <v>4753</v>
      </c>
      <c r="L132" s="8">
        <v>6708</v>
      </c>
      <c r="M132" s="8">
        <v>4794</v>
      </c>
      <c r="N132" s="8">
        <v>4008</v>
      </c>
      <c r="O132" s="8">
        <v>8678</v>
      </c>
      <c r="P132" s="8">
        <v>5801</v>
      </c>
      <c r="Q132" s="8">
        <v>7475</v>
      </c>
      <c r="R132" s="8">
        <v>6906</v>
      </c>
      <c r="S132" s="8">
        <v>6711</v>
      </c>
      <c r="T132" s="8">
        <v>5318</v>
      </c>
      <c r="U132" s="8">
        <v>7588</v>
      </c>
      <c r="V132" s="8">
        <v>6429</v>
      </c>
      <c r="W132" s="8">
        <v>7241</v>
      </c>
      <c r="X132" s="8">
        <v>7311</v>
      </c>
      <c r="Y132" s="8">
        <v>6028</v>
      </c>
      <c r="Z132" s="8">
        <v>6312</v>
      </c>
      <c r="AA132" s="8">
        <v>12678</v>
      </c>
      <c r="AB132" s="8">
        <v>6693</v>
      </c>
      <c r="AC132" s="8">
        <v>9001</v>
      </c>
      <c r="AD132" s="8">
        <v>5957</v>
      </c>
      <c r="AE132" s="8">
        <v>7804</v>
      </c>
      <c r="AF132" s="8">
        <v>10183</v>
      </c>
      <c r="AG132" s="8">
        <v>6017</v>
      </c>
      <c r="AH132" s="8">
        <v>5006</v>
      </c>
      <c r="AI132" s="8">
        <v>7854</v>
      </c>
      <c r="AJ132" s="8">
        <v>8937</v>
      </c>
      <c r="AK132" s="8">
        <v>6143</v>
      </c>
      <c r="AL132" s="8">
        <v>6598</v>
      </c>
      <c r="AM132" s="8">
        <v>5511</v>
      </c>
      <c r="AN132" s="8">
        <v>9750</v>
      </c>
      <c r="AO132" s="8">
        <v>5647</v>
      </c>
      <c r="AP132" s="8">
        <v>9291</v>
      </c>
      <c r="AQ132" s="8">
        <v>10247</v>
      </c>
      <c r="AR132" s="8">
        <v>10386</v>
      </c>
      <c r="AS132" s="8">
        <v>6401</v>
      </c>
      <c r="AT132" s="8">
        <v>6684</v>
      </c>
      <c r="AU132" s="8">
        <v>6579</v>
      </c>
      <c r="AV132" s="8">
        <v>5610</v>
      </c>
      <c r="AW132" s="8">
        <v>8925</v>
      </c>
      <c r="AX132" s="8">
        <v>5055</v>
      </c>
      <c r="AY132" s="8">
        <v>7285</v>
      </c>
      <c r="AZ132" s="8">
        <v>13041</v>
      </c>
      <c r="BA132" s="8">
        <v>7939</v>
      </c>
      <c r="BB132" s="8">
        <v>6867</v>
      </c>
      <c r="BC132" s="8">
        <v>7502</v>
      </c>
      <c r="BD132" s="8">
        <v>7552</v>
      </c>
      <c r="BE132" s="8">
        <v>6072</v>
      </c>
      <c r="BF132" s="8">
        <v>6069</v>
      </c>
      <c r="BG132" s="8">
        <v>5700</v>
      </c>
      <c r="BH132" s="8">
        <v>8026</v>
      </c>
      <c r="BI132" s="8">
        <v>6006</v>
      </c>
      <c r="BJ132" s="8">
        <v>6530</v>
      </c>
      <c r="BK132" s="8">
        <v>6854</v>
      </c>
      <c r="BL132" s="8">
        <v>5555</v>
      </c>
      <c r="BM132" s="8">
        <v>5607</v>
      </c>
      <c r="BN132" s="8">
        <v>13836</v>
      </c>
      <c r="BO132" s="8">
        <v>8174</v>
      </c>
      <c r="BP132" s="8">
        <v>6601</v>
      </c>
      <c r="BQ132" s="8">
        <v>7511</v>
      </c>
      <c r="BR132" s="8">
        <v>7394</v>
      </c>
      <c r="BS132" s="8">
        <v>6397</v>
      </c>
      <c r="BT132" s="8">
        <v>7424</v>
      </c>
      <c r="BU132" s="8">
        <v>7725</v>
      </c>
      <c r="BV132" s="8">
        <v>7638</v>
      </c>
      <c r="BW132" s="8">
        <v>6024</v>
      </c>
      <c r="BX132" s="8">
        <v>6940</v>
      </c>
      <c r="BY132" s="8">
        <v>6287</v>
      </c>
      <c r="BZ132" s="8">
        <v>6788</v>
      </c>
      <c r="CA132" s="8">
        <v>7087</v>
      </c>
      <c r="CB132" s="8">
        <v>11103</v>
      </c>
      <c r="CC132" s="8">
        <v>9284</v>
      </c>
      <c r="CD132" s="8">
        <v>13003</v>
      </c>
      <c r="CE132" s="8">
        <v>6390</v>
      </c>
      <c r="CF132" s="8">
        <v>6480</v>
      </c>
      <c r="CG132" s="8">
        <v>6223</v>
      </c>
      <c r="CH132" s="8">
        <v>7493</v>
      </c>
      <c r="CJ132" s="9"/>
      <c r="CK132" s="9"/>
      <c r="CL132" s="9"/>
      <c r="CM132" s="9"/>
      <c r="CN132" s="9"/>
      <c r="CO132" s="9"/>
      <c r="CP132" s="9"/>
      <c r="CQ132" s="9"/>
      <c r="CR132" s="9"/>
      <c r="CS132" s="9"/>
      <c r="CT132" s="9"/>
      <c r="CU132" s="9"/>
      <c r="CV132" s="9"/>
      <c r="CW132" s="9"/>
      <c r="CX132" s="9"/>
      <c r="CY132" s="9"/>
      <c r="CZ132" s="9"/>
      <c r="DA132" s="9"/>
      <c r="DB132" s="9"/>
      <c r="DC132" s="9"/>
      <c r="DD132" s="9"/>
      <c r="DE132" s="9"/>
      <c r="DF132" s="9"/>
      <c r="DG132" s="9"/>
      <c r="DH132" s="9"/>
      <c r="DI132" s="9"/>
      <c r="DJ132" s="9"/>
      <c r="DK132" s="9"/>
      <c r="DL132" s="9"/>
      <c r="DM132" s="9"/>
      <c r="DN132" s="9"/>
      <c r="DO132" s="9"/>
      <c r="DP132" s="9"/>
      <c r="DQ132" s="9"/>
      <c r="DR132" s="9"/>
      <c r="DS132" s="9"/>
      <c r="DT132" s="9"/>
      <c r="DU132" s="9"/>
      <c r="DV132" s="9"/>
      <c r="DW132" s="9"/>
      <c r="DX132" s="9"/>
      <c r="DY132" s="9"/>
      <c r="DZ132" s="9"/>
      <c r="EA132" s="9"/>
      <c r="EB132" s="9"/>
      <c r="EC132" s="9"/>
      <c r="ED132" s="9"/>
      <c r="EE132" s="9"/>
      <c r="EF132" s="9"/>
      <c r="EG132" s="9"/>
      <c r="EH132" s="9"/>
      <c r="EI132" s="9"/>
      <c r="EJ132" s="9"/>
      <c r="EK132" s="9"/>
      <c r="EL132" s="9"/>
      <c r="EM132" s="9"/>
      <c r="EN132" s="9"/>
      <c r="EO132" s="9"/>
      <c r="EP132" s="9"/>
      <c r="EQ132" s="9"/>
      <c r="ER132" s="9"/>
      <c r="ES132" s="9"/>
      <c r="ET132" s="9"/>
      <c r="EU132" s="9"/>
      <c r="EV132" s="9"/>
      <c r="EW132" s="9"/>
      <c r="EX132" s="9"/>
      <c r="EY132" s="9"/>
      <c r="EZ132" s="9"/>
      <c r="FA132" s="9"/>
      <c r="FB132" s="9"/>
      <c r="FC132" s="9"/>
      <c r="FD132" s="9"/>
      <c r="FE132" s="9"/>
      <c r="FF132" s="9"/>
      <c r="FG132" s="9"/>
      <c r="FH132" s="9"/>
      <c r="FI132" s="9"/>
    </row>
    <row r="133" spans="1:165" x14ac:dyDescent="0.2">
      <c r="A133" s="1" t="s">
        <v>1263</v>
      </c>
      <c r="B133" s="1" t="s">
        <v>1264</v>
      </c>
      <c r="C133" s="1" t="s">
        <v>865</v>
      </c>
      <c r="D133" s="1" t="str">
        <f>HYPERLINK("http://eros.fiehnlab.ucdavis.edu:8080/binbase-compound/bin/show/216428?db=rtx5","216428")</f>
        <v>216428</v>
      </c>
      <c r="E133" s="1" t="s">
        <v>1265</v>
      </c>
      <c r="F133" s="1" t="s">
        <v>184</v>
      </c>
      <c r="G133" s="1" t="s">
        <v>184</v>
      </c>
      <c r="H133" s="1"/>
      <c r="I133" s="8">
        <v>3453</v>
      </c>
      <c r="J133" s="8">
        <v>3455</v>
      </c>
      <c r="K133" s="8">
        <v>2759</v>
      </c>
      <c r="L133" s="8">
        <v>2839</v>
      </c>
      <c r="M133" s="8">
        <v>2968</v>
      </c>
      <c r="N133" s="8">
        <v>2396</v>
      </c>
      <c r="O133" s="8">
        <v>1983</v>
      </c>
      <c r="P133" s="8">
        <v>2163</v>
      </c>
      <c r="Q133" s="8">
        <v>3832</v>
      </c>
      <c r="R133" s="8">
        <v>3297</v>
      </c>
      <c r="S133" s="8">
        <v>4443</v>
      </c>
      <c r="T133" s="8">
        <v>2776</v>
      </c>
      <c r="U133" s="8">
        <v>3533</v>
      </c>
      <c r="V133" s="8">
        <v>3662</v>
      </c>
      <c r="W133" s="8">
        <v>2900</v>
      </c>
      <c r="X133" s="8">
        <v>2463</v>
      </c>
      <c r="Y133" s="8">
        <v>2223</v>
      </c>
      <c r="Z133" s="8">
        <v>1443</v>
      </c>
      <c r="AA133" s="8">
        <v>1606</v>
      </c>
      <c r="AB133" s="8">
        <v>2201</v>
      </c>
      <c r="AC133" s="8">
        <v>1502</v>
      </c>
      <c r="AD133" s="8">
        <v>3232</v>
      </c>
      <c r="AE133" s="8">
        <v>2301</v>
      </c>
      <c r="AF133" s="8">
        <v>2947</v>
      </c>
      <c r="AG133" s="8">
        <v>1396</v>
      </c>
      <c r="AH133" s="8">
        <v>1834</v>
      </c>
      <c r="AI133" s="8">
        <v>3029</v>
      </c>
      <c r="AJ133" s="8">
        <v>254</v>
      </c>
      <c r="AK133" s="8">
        <v>1415</v>
      </c>
      <c r="AL133" s="8">
        <v>3455</v>
      </c>
      <c r="AM133" s="8">
        <v>3696</v>
      </c>
      <c r="AN133" s="8">
        <v>2500</v>
      </c>
      <c r="AO133" s="8">
        <v>4160</v>
      </c>
      <c r="AP133" s="8">
        <v>5122</v>
      </c>
      <c r="AQ133" s="8">
        <v>2691</v>
      </c>
      <c r="AR133" s="8">
        <v>2412</v>
      </c>
      <c r="AS133" s="8">
        <v>2952</v>
      </c>
      <c r="AT133" s="8">
        <v>3250</v>
      </c>
      <c r="AU133" s="8">
        <v>4258</v>
      </c>
      <c r="AV133" s="8">
        <v>1495</v>
      </c>
      <c r="AW133" s="8">
        <v>1971</v>
      </c>
      <c r="AX133" s="8">
        <v>3584</v>
      </c>
      <c r="AY133" s="8">
        <v>2601</v>
      </c>
      <c r="AZ133" s="8">
        <v>2786</v>
      </c>
      <c r="BA133" s="8">
        <v>3332</v>
      </c>
      <c r="BB133" s="8">
        <v>4220</v>
      </c>
      <c r="BC133" s="8">
        <v>3176</v>
      </c>
      <c r="BD133" s="8">
        <v>2972</v>
      </c>
      <c r="BE133" s="8">
        <v>2882</v>
      </c>
      <c r="BF133" s="8">
        <v>1092</v>
      </c>
      <c r="BG133" s="8">
        <v>1032</v>
      </c>
      <c r="BH133" s="8">
        <v>2430</v>
      </c>
      <c r="BI133" s="8">
        <v>3126</v>
      </c>
      <c r="BJ133" s="8">
        <v>2189</v>
      </c>
      <c r="BK133" s="8">
        <v>3175</v>
      </c>
      <c r="BL133" s="8">
        <v>3943</v>
      </c>
      <c r="BM133" s="8">
        <v>3054</v>
      </c>
      <c r="BN133" s="8">
        <v>2471</v>
      </c>
      <c r="BO133" s="8">
        <v>2342</v>
      </c>
      <c r="BP133" s="8">
        <v>3301</v>
      </c>
      <c r="BQ133" s="8">
        <v>3358</v>
      </c>
      <c r="BR133" s="8">
        <v>1974</v>
      </c>
      <c r="BS133" s="8">
        <v>3638</v>
      </c>
      <c r="BT133" s="8">
        <v>3459</v>
      </c>
      <c r="BU133" s="8">
        <v>2291</v>
      </c>
      <c r="BV133" s="8">
        <v>3372</v>
      </c>
      <c r="BW133" s="8">
        <v>1923</v>
      </c>
      <c r="BX133" s="8">
        <v>2256</v>
      </c>
      <c r="BY133" s="8">
        <v>1747</v>
      </c>
      <c r="BZ133" s="8">
        <v>1826</v>
      </c>
      <c r="CA133" s="8">
        <v>3956</v>
      </c>
      <c r="CB133" s="8">
        <v>1958</v>
      </c>
      <c r="CC133" s="8">
        <v>2776</v>
      </c>
      <c r="CD133" s="8">
        <v>2612</v>
      </c>
      <c r="CE133" s="8">
        <v>2558</v>
      </c>
      <c r="CF133" s="8">
        <v>2068</v>
      </c>
      <c r="CG133" s="8">
        <v>1541</v>
      </c>
      <c r="CH133" s="8">
        <v>2948</v>
      </c>
      <c r="CJ133" s="9"/>
      <c r="CK133" s="9"/>
      <c r="CL133" s="9"/>
      <c r="CM133" s="9"/>
      <c r="CN133" s="9"/>
      <c r="CO133" s="9"/>
      <c r="CP133" s="9"/>
      <c r="CQ133" s="9"/>
      <c r="CR133" s="9"/>
      <c r="CS133" s="9"/>
      <c r="CT133" s="9"/>
      <c r="CU133" s="9"/>
      <c r="CV133" s="9"/>
      <c r="CW133" s="9"/>
      <c r="CX133" s="9"/>
      <c r="CY133" s="9"/>
      <c r="CZ133" s="9"/>
      <c r="DA133" s="9"/>
      <c r="DB133" s="9"/>
      <c r="DC133" s="9"/>
      <c r="DD133" s="9"/>
      <c r="DE133" s="9"/>
      <c r="DF133" s="9"/>
      <c r="DG133" s="9"/>
      <c r="DH133" s="9"/>
      <c r="DI133" s="9"/>
      <c r="DJ133" s="9"/>
      <c r="DK133" s="9"/>
      <c r="DL133" s="9"/>
      <c r="DM133" s="9"/>
      <c r="DN133" s="9"/>
      <c r="DO133" s="9"/>
      <c r="DP133" s="9"/>
      <c r="DQ133" s="9"/>
      <c r="DR133" s="9"/>
      <c r="DS133" s="9"/>
      <c r="DT133" s="9"/>
      <c r="DU133" s="9"/>
      <c r="DV133" s="9"/>
      <c r="DW133" s="9"/>
      <c r="DX133" s="9"/>
      <c r="DY133" s="9"/>
      <c r="DZ133" s="9"/>
      <c r="EA133" s="9"/>
      <c r="EB133" s="9"/>
      <c r="EC133" s="9"/>
      <c r="ED133" s="9"/>
      <c r="EE133" s="9"/>
      <c r="EF133" s="9"/>
      <c r="EG133" s="9"/>
      <c r="EH133" s="9"/>
      <c r="EI133" s="9"/>
      <c r="EJ133" s="9"/>
      <c r="EK133" s="9"/>
      <c r="EL133" s="9"/>
      <c r="EM133" s="9"/>
      <c r="EN133" s="9"/>
      <c r="EO133" s="9"/>
      <c r="EP133" s="9"/>
      <c r="EQ133" s="9"/>
      <c r="ER133" s="9"/>
      <c r="ES133" s="9"/>
      <c r="ET133" s="9"/>
      <c r="EU133" s="9"/>
      <c r="EV133" s="9"/>
      <c r="EW133" s="9"/>
      <c r="EX133" s="9"/>
      <c r="EY133" s="9"/>
      <c r="EZ133" s="9"/>
      <c r="FA133" s="9"/>
      <c r="FB133" s="9"/>
      <c r="FC133" s="9"/>
      <c r="FD133" s="9"/>
      <c r="FE133" s="9"/>
      <c r="FF133" s="9"/>
      <c r="FG133" s="9"/>
      <c r="FH133" s="9"/>
      <c r="FI133" s="9"/>
    </row>
    <row r="134" spans="1:165" x14ac:dyDescent="0.2">
      <c r="A134" s="1" t="s">
        <v>811</v>
      </c>
      <c r="B134" s="1" t="s">
        <v>812</v>
      </c>
      <c r="C134" s="1" t="s">
        <v>325</v>
      </c>
      <c r="D134" s="1" t="str">
        <f>HYPERLINK("http://eros.fiehnlab.ucdavis.edu:8080/binbase-compound/bin/show/356938?db=rtx5","356938")</f>
        <v>356938</v>
      </c>
      <c r="E134" s="1" t="s">
        <v>813</v>
      </c>
      <c r="F134" s="1" t="s">
        <v>184</v>
      </c>
      <c r="G134" s="1" t="s">
        <v>184</v>
      </c>
      <c r="H134" s="1"/>
      <c r="I134" s="8">
        <v>505</v>
      </c>
      <c r="J134" s="8">
        <v>456</v>
      </c>
      <c r="K134" s="8">
        <v>397</v>
      </c>
      <c r="L134" s="8">
        <v>302</v>
      </c>
      <c r="M134" s="8">
        <v>336</v>
      </c>
      <c r="N134" s="8">
        <v>376</v>
      </c>
      <c r="O134" s="8">
        <v>339</v>
      </c>
      <c r="P134" s="8">
        <v>473</v>
      </c>
      <c r="Q134" s="8">
        <v>209</v>
      </c>
      <c r="R134" s="8">
        <v>489</v>
      </c>
      <c r="S134" s="8">
        <v>388</v>
      </c>
      <c r="T134" s="8">
        <v>279</v>
      </c>
      <c r="U134" s="8">
        <v>258</v>
      </c>
      <c r="V134" s="8">
        <v>275</v>
      </c>
      <c r="W134" s="8">
        <v>296</v>
      </c>
      <c r="X134" s="8">
        <v>400</v>
      </c>
      <c r="Y134" s="8">
        <v>196</v>
      </c>
      <c r="Z134" s="8">
        <v>226</v>
      </c>
      <c r="AA134" s="8">
        <v>236</v>
      </c>
      <c r="AB134" s="8">
        <v>339</v>
      </c>
      <c r="AC134" s="8">
        <v>302</v>
      </c>
      <c r="AD134" s="8">
        <v>369</v>
      </c>
      <c r="AE134" s="8">
        <v>335</v>
      </c>
      <c r="AF134" s="8">
        <v>260</v>
      </c>
      <c r="AG134" s="8">
        <v>244</v>
      </c>
      <c r="AH134" s="8">
        <v>346</v>
      </c>
      <c r="AI134" s="8">
        <v>382</v>
      </c>
      <c r="AJ134" s="8">
        <v>387</v>
      </c>
      <c r="AK134" s="8">
        <v>267</v>
      </c>
      <c r="AL134" s="8">
        <v>415</v>
      </c>
      <c r="AM134" s="8">
        <v>447</v>
      </c>
      <c r="AN134" s="8">
        <v>447</v>
      </c>
      <c r="AO134" s="8">
        <v>393</v>
      </c>
      <c r="AP134" s="8">
        <v>469</v>
      </c>
      <c r="AQ134" s="8">
        <v>375</v>
      </c>
      <c r="AR134" s="8">
        <v>289</v>
      </c>
      <c r="AS134" s="8">
        <v>482</v>
      </c>
      <c r="AT134" s="8">
        <v>370</v>
      </c>
      <c r="AU134" s="8">
        <v>295</v>
      </c>
      <c r="AV134" s="8">
        <v>312</v>
      </c>
      <c r="AW134" s="8">
        <v>308</v>
      </c>
      <c r="AX134" s="8">
        <v>263</v>
      </c>
      <c r="AY134" s="8">
        <v>485</v>
      </c>
      <c r="AZ134" s="8">
        <v>283</v>
      </c>
      <c r="BA134" s="8">
        <v>274</v>
      </c>
      <c r="BB134" s="8">
        <v>358</v>
      </c>
      <c r="BC134" s="8">
        <v>383</v>
      </c>
      <c r="BD134" s="8">
        <v>399</v>
      </c>
      <c r="BE134" s="8">
        <v>490</v>
      </c>
      <c r="BF134" s="8">
        <v>338</v>
      </c>
      <c r="BG134" s="8">
        <v>316</v>
      </c>
      <c r="BH134" s="8">
        <v>334</v>
      </c>
      <c r="BI134" s="8">
        <v>349</v>
      </c>
      <c r="BJ134" s="8">
        <v>324</v>
      </c>
      <c r="BK134" s="8">
        <v>454</v>
      </c>
      <c r="BL134" s="8">
        <v>441</v>
      </c>
      <c r="BM134" s="8">
        <v>352</v>
      </c>
      <c r="BN134" s="8">
        <v>246</v>
      </c>
      <c r="BO134" s="8">
        <v>312</v>
      </c>
      <c r="BP134" s="8">
        <v>349</v>
      </c>
      <c r="BQ134" s="8">
        <v>373</v>
      </c>
      <c r="BR134" s="8">
        <v>454</v>
      </c>
      <c r="BS134" s="8">
        <v>401</v>
      </c>
      <c r="BT134" s="8">
        <v>330</v>
      </c>
      <c r="BU134" s="8">
        <v>245</v>
      </c>
      <c r="BV134" s="8">
        <v>283</v>
      </c>
      <c r="BW134" s="8">
        <v>406</v>
      </c>
      <c r="BX134" s="8">
        <v>451</v>
      </c>
      <c r="BY134" s="8">
        <v>397</v>
      </c>
      <c r="BZ134" s="8">
        <v>299</v>
      </c>
      <c r="CA134" s="8">
        <v>318</v>
      </c>
      <c r="CB134" s="8">
        <v>208</v>
      </c>
      <c r="CC134" s="8">
        <v>366</v>
      </c>
      <c r="CD134" s="8">
        <v>343</v>
      </c>
      <c r="CE134" s="8">
        <v>375</v>
      </c>
      <c r="CF134" s="8">
        <v>225</v>
      </c>
      <c r="CG134" s="8">
        <v>360</v>
      </c>
      <c r="CH134" s="8">
        <v>346</v>
      </c>
      <c r="CJ134" s="9"/>
      <c r="CK134" s="9"/>
      <c r="CL134" s="9"/>
      <c r="CM134" s="9"/>
      <c r="CN134" s="9"/>
      <c r="CO134" s="9"/>
      <c r="CP134" s="9"/>
      <c r="CQ134" s="9"/>
      <c r="CR134" s="9"/>
      <c r="CS134" s="9"/>
      <c r="CT134" s="9"/>
      <c r="CU134" s="9"/>
      <c r="CV134" s="9"/>
      <c r="CW134" s="9"/>
      <c r="CX134" s="9"/>
      <c r="CY134" s="9"/>
      <c r="CZ134" s="9"/>
      <c r="DA134" s="9"/>
      <c r="DB134" s="9"/>
      <c r="DC134" s="9"/>
      <c r="DD134" s="9"/>
      <c r="DE134" s="9"/>
      <c r="DF134" s="9"/>
      <c r="DG134" s="9"/>
      <c r="DH134" s="9"/>
      <c r="DI134" s="9"/>
      <c r="DJ134" s="9"/>
      <c r="DK134" s="9"/>
      <c r="DL134" s="9"/>
      <c r="DM134" s="9"/>
      <c r="DN134" s="9"/>
      <c r="DO134" s="9"/>
      <c r="DP134" s="9"/>
      <c r="DQ134" s="9"/>
      <c r="DR134" s="9"/>
      <c r="DS134" s="9"/>
      <c r="DT134" s="9"/>
      <c r="DU134" s="9"/>
      <c r="DV134" s="9"/>
      <c r="DW134" s="9"/>
      <c r="DX134" s="9"/>
      <c r="DY134" s="9"/>
      <c r="DZ134" s="9"/>
      <c r="EA134" s="9"/>
      <c r="EB134" s="9"/>
      <c r="EC134" s="9"/>
      <c r="ED134" s="9"/>
      <c r="EE134" s="9"/>
      <c r="EF134" s="9"/>
      <c r="EG134" s="9"/>
      <c r="EH134" s="9"/>
      <c r="EI134" s="9"/>
      <c r="EJ134" s="9"/>
      <c r="EK134" s="9"/>
      <c r="EL134" s="9"/>
      <c r="EM134" s="9"/>
      <c r="EN134" s="9"/>
      <c r="EO134" s="9"/>
      <c r="EP134" s="9"/>
      <c r="EQ134" s="9"/>
      <c r="ER134" s="9"/>
      <c r="ES134" s="9"/>
      <c r="ET134" s="9"/>
      <c r="EU134" s="9"/>
      <c r="EV134" s="9"/>
      <c r="EW134" s="9"/>
      <c r="EX134" s="9"/>
      <c r="EY134" s="9"/>
      <c r="EZ134" s="9"/>
      <c r="FA134" s="9"/>
      <c r="FB134" s="9"/>
      <c r="FC134" s="9"/>
      <c r="FD134" s="9"/>
      <c r="FE134" s="9"/>
      <c r="FF134" s="9"/>
      <c r="FG134" s="9"/>
      <c r="FH134" s="9"/>
      <c r="FI134" s="9"/>
    </row>
    <row r="135" spans="1:165" x14ac:dyDescent="0.2">
      <c r="A135" s="1" t="s">
        <v>1006</v>
      </c>
      <c r="B135" s="1" t="s">
        <v>1007</v>
      </c>
      <c r="C135" s="1" t="s">
        <v>1008</v>
      </c>
      <c r="D135" s="1" t="str">
        <f>HYPERLINK("http://eros.fiehnlab.ucdavis.edu:8080/binbase-compound/bin/show/270108?db=rtx5","270108")</f>
        <v>270108</v>
      </c>
      <c r="E135" s="1" t="s">
        <v>1009</v>
      </c>
      <c r="F135" s="1" t="s">
        <v>184</v>
      </c>
      <c r="G135" s="1" t="s">
        <v>184</v>
      </c>
      <c r="H135" s="1"/>
      <c r="I135" s="8">
        <v>990</v>
      </c>
      <c r="J135" s="8">
        <v>1026</v>
      </c>
      <c r="K135" s="8">
        <v>919</v>
      </c>
      <c r="L135" s="8">
        <v>636</v>
      </c>
      <c r="M135" s="8">
        <v>2109</v>
      </c>
      <c r="N135" s="8">
        <v>1903</v>
      </c>
      <c r="O135" s="8">
        <v>629</v>
      </c>
      <c r="P135" s="8">
        <v>839</v>
      </c>
      <c r="Q135" s="8">
        <v>1960</v>
      </c>
      <c r="R135" s="8">
        <v>2309</v>
      </c>
      <c r="S135" s="8">
        <v>2121</v>
      </c>
      <c r="T135" s="8">
        <v>2746</v>
      </c>
      <c r="U135" s="8">
        <v>1139</v>
      </c>
      <c r="V135" s="8">
        <v>1113</v>
      </c>
      <c r="W135" s="8">
        <v>1586</v>
      </c>
      <c r="X135" s="8">
        <v>1715</v>
      </c>
      <c r="Y135" s="8">
        <v>1351</v>
      </c>
      <c r="Z135" s="8">
        <v>1593</v>
      </c>
      <c r="AA135" s="8">
        <v>526</v>
      </c>
      <c r="AB135" s="8">
        <v>789</v>
      </c>
      <c r="AC135" s="8">
        <v>768</v>
      </c>
      <c r="AD135" s="8">
        <v>780</v>
      </c>
      <c r="AE135" s="8">
        <v>2163</v>
      </c>
      <c r="AF135" s="8">
        <v>1414</v>
      </c>
      <c r="AG135" s="8">
        <v>676</v>
      </c>
      <c r="AH135" s="8">
        <v>970</v>
      </c>
      <c r="AI135" s="8">
        <v>749</v>
      </c>
      <c r="AJ135" s="8">
        <v>2409</v>
      </c>
      <c r="AK135" s="8">
        <v>1262</v>
      </c>
      <c r="AL135" s="8">
        <v>2246</v>
      </c>
      <c r="AM135" s="8">
        <v>1132</v>
      </c>
      <c r="AN135" s="8">
        <v>1162</v>
      </c>
      <c r="AO135" s="8">
        <v>780</v>
      </c>
      <c r="AP135" s="8">
        <v>1979</v>
      </c>
      <c r="AQ135" s="8">
        <v>1905</v>
      </c>
      <c r="AR135" s="8">
        <v>1575</v>
      </c>
      <c r="AS135" s="8">
        <v>919</v>
      </c>
      <c r="AT135" s="8">
        <v>1217</v>
      </c>
      <c r="AU135" s="8">
        <v>830</v>
      </c>
      <c r="AV135" s="8">
        <v>791</v>
      </c>
      <c r="AW135" s="8">
        <v>2556</v>
      </c>
      <c r="AX135" s="8">
        <v>1538</v>
      </c>
      <c r="AY135" s="8">
        <v>874</v>
      </c>
      <c r="AZ135" s="8">
        <v>1878</v>
      </c>
      <c r="BA135" s="8">
        <v>1887</v>
      </c>
      <c r="BB135" s="8">
        <v>1586</v>
      </c>
      <c r="BC135" s="8">
        <v>2024</v>
      </c>
      <c r="BD135" s="8">
        <v>1983</v>
      </c>
      <c r="BE135" s="8">
        <v>764</v>
      </c>
      <c r="BF135" s="8">
        <v>1037</v>
      </c>
      <c r="BG135" s="8">
        <v>738</v>
      </c>
      <c r="BH135" s="8">
        <v>585</v>
      </c>
      <c r="BI135" s="8">
        <v>1547</v>
      </c>
      <c r="BJ135" s="8">
        <v>1651</v>
      </c>
      <c r="BK135" s="8">
        <v>1285</v>
      </c>
      <c r="BL135" s="8">
        <v>1004</v>
      </c>
      <c r="BM135" s="8">
        <v>810</v>
      </c>
      <c r="BN135" s="8">
        <v>1724</v>
      </c>
      <c r="BO135" s="8">
        <v>2320</v>
      </c>
      <c r="BP135" s="8">
        <v>1910</v>
      </c>
      <c r="BQ135" s="8">
        <v>908</v>
      </c>
      <c r="BR135" s="8">
        <v>826</v>
      </c>
      <c r="BS135" s="8">
        <v>774</v>
      </c>
      <c r="BT135" s="8">
        <v>1427</v>
      </c>
      <c r="BU135" s="8">
        <v>1592</v>
      </c>
      <c r="BV135" s="8">
        <v>1653</v>
      </c>
      <c r="BW135" s="8">
        <v>952</v>
      </c>
      <c r="BX135" s="8">
        <v>942</v>
      </c>
      <c r="BY135" s="8">
        <v>867</v>
      </c>
      <c r="BZ135" s="8">
        <v>1838</v>
      </c>
      <c r="CA135" s="8">
        <v>1705</v>
      </c>
      <c r="CB135" s="8">
        <v>1145</v>
      </c>
      <c r="CC135" s="8">
        <v>964</v>
      </c>
      <c r="CD135" s="8">
        <v>857</v>
      </c>
      <c r="CE135" s="8">
        <v>999</v>
      </c>
      <c r="CF135" s="8">
        <v>627</v>
      </c>
      <c r="CG135" s="8">
        <v>1633</v>
      </c>
      <c r="CH135" s="8">
        <v>1372</v>
      </c>
      <c r="CJ135" s="9"/>
      <c r="CK135" s="9"/>
      <c r="CL135" s="9"/>
      <c r="CM135" s="9"/>
      <c r="CN135" s="9"/>
      <c r="CO135" s="9"/>
      <c r="CP135" s="9"/>
      <c r="CQ135" s="9"/>
      <c r="CR135" s="9"/>
      <c r="CS135" s="9"/>
      <c r="CT135" s="9"/>
      <c r="CU135" s="9"/>
      <c r="CV135" s="9"/>
      <c r="CW135" s="9"/>
      <c r="CX135" s="9"/>
      <c r="CY135" s="9"/>
      <c r="CZ135" s="9"/>
      <c r="DA135" s="9"/>
      <c r="DB135" s="9"/>
      <c r="DC135" s="9"/>
      <c r="DD135" s="9"/>
      <c r="DE135" s="9"/>
      <c r="DF135" s="9"/>
      <c r="DG135" s="9"/>
      <c r="DH135" s="9"/>
      <c r="DI135" s="9"/>
      <c r="DJ135" s="9"/>
      <c r="DK135" s="9"/>
      <c r="DL135" s="9"/>
      <c r="DM135" s="9"/>
      <c r="DN135" s="9"/>
      <c r="DO135" s="9"/>
      <c r="DP135" s="9"/>
      <c r="DQ135" s="9"/>
      <c r="DR135" s="9"/>
      <c r="DS135" s="9"/>
      <c r="DT135" s="9"/>
      <c r="DU135" s="9"/>
      <c r="DV135" s="9"/>
      <c r="DW135" s="9"/>
      <c r="DX135" s="9"/>
      <c r="DY135" s="9"/>
      <c r="DZ135" s="9"/>
      <c r="EA135" s="9"/>
      <c r="EB135" s="9"/>
      <c r="EC135" s="9"/>
      <c r="ED135" s="9"/>
      <c r="EE135" s="9"/>
      <c r="EF135" s="9"/>
      <c r="EG135" s="9"/>
      <c r="EH135" s="9"/>
      <c r="EI135" s="9"/>
      <c r="EJ135" s="9"/>
      <c r="EK135" s="9"/>
      <c r="EL135" s="9"/>
      <c r="EM135" s="9"/>
      <c r="EN135" s="9"/>
      <c r="EO135" s="9"/>
      <c r="EP135" s="9"/>
      <c r="EQ135" s="9"/>
      <c r="ER135" s="9"/>
      <c r="ES135" s="9"/>
      <c r="ET135" s="9"/>
      <c r="EU135" s="9"/>
      <c r="EV135" s="9"/>
      <c r="EW135" s="9"/>
      <c r="EX135" s="9"/>
      <c r="EY135" s="9"/>
      <c r="EZ135" s="9"/>
      <c r="FA135" s="9"/>
      <c r="FB135" s="9"/>
      <c r="FC135" s="9"/>
      <c r="FD135" s="9"/>
      <c r="FE135" s="9"/>
      <c r="FF135" s="9"/>
      <c r="FG135" s="9"/>
      <c r="FH135" s="9"/>
      <c r="FI135" s="9"/>
    </row>
    <row r="136" spans="1:165" x14ac:dyDescent="0.2">
      <c r="A136" s="1" t="s">
        <v>988</v>
      </c>
      <c r="B136" s="1" t="s">
        <v>989</v>
      </c>
      <c r="C136" s="1" t="s">
        <v>586</v>
      </c>
      <c r="D136" s="1" t="str">
        <f>HYPERLINK("http://eros.fiehnlab.ucdavis.edu:8080/binbase-compound/bin/show/272849?db=rtx5","272849")</f>
        <v>272849</v>
      </c>
      <c r="E136" s="1" t="s">
        <v>990</v>
      </c>
      <c r="F136" s="1" t="s">
        <v>184</v>
      </c>
      <c r="G136" s="1" t="s">
        <v>184</v>
      </c>
      <c r="H136" s="1"/>
      <c r="I136" s="8">
        <v>52280</v>
      </c>
      <c r="J136" s="8">
        <v>43218</v>
      </c>
      <c r="K136" s="8">
        <v>27771</v>
      </c>
      <c r="L136" s="8">
        <v>29057</v>
      </c>
      <c r="M136" s="8">
        <v>39120</v>
      </c>
      <c r="N136" s="8">
        <v>44355</v>
      </c>
      <c r="O136" s="8">
        <v>35620</v>
      </c>
      <c r="P136" s="8">
        <v>43148</v>
      </c>
      <c r="Q136" s="8">
        <v>42174</v>
      </c>
      <c r="R136" s="8">
        <v>49539</v>
      </c>
      <c r="S136" s="8">
        <v>52566</v>
      </c>
      <c r="T136" s="8">
        <v>23603</v>
      </c>
      <c r="U136" s="8">
        <v>48747</v>
      </c>
      <c r="V136" s="8">
        <v>47762</v>
      </c>
      <c r="W136" s="8">
        <v>40027</v>
      </c>
      <c r="X136" s="8">
        <v>40775</v>
      </c>
      <c r="Y136" s="8">
        <v>26442</v>
      </c>
      <c r="Z136" s="8">
        <v>40162</v>
      </c>
      <c r="AA136" s="8">
        <v>24803</v>
      </c>
      <c r="AB136" s="8">
        <v>32597</v>
      </c>
      <c r="AC136" s="8">
        <v>38470</v>
      </c>
      <c r="AD136" s="8">
        <v>32356</v>
      </c>
      <c r="AE136" s="8">
        <v>40752</v>
      </c>
      <c r="AF136" s="8">
        <v>35185</v>
      </c>
      <c r="AG136" s="8">
        <v>34143</v>
      </c>
      <c r="AH136" s="8">
        <v>39220</v>
      </c>
      <c r="AI136" s="8">
        <v>30741</v>
      </c>
      <c r="AJ136" s="8">
        <v>37842</v>
      </c>
      <c r="AK136" s="8">
        <v>29003</v>
      </c>
      <c r="AL136" s="8">
        <v>44490</v>
      </c>
      <c r="AM136" s="8">
        <v>65520</v>
      </c>
      <c r="AN136" s="8">
        <v>53429</v>
      </c>
      <c r="AO136" s="8">
        <v>37272</v>
      </c>
      <c r="AP136" s="8">
        <v>48277</v>
      </c>
      <c r="AQ136" s="8">
        <v>36782</v>
      </c>
      <c r="AR136" s="8">
        <v>33539</v>
      </c>
      <c r="AS136" s="8">
        <v>36366</v>
      </c>
      <c r="AT136" s="8">
        <v>44859</v>
      </c>
      <c r="AU136" s="8">
        <v>41265</v>
      </c>
      <c r="AV136" s="8">
        <v>33022</v>
      </c>
      <c r="AW136" s="8">
        <v>42115</v>
      </c>
      <c r="AX136" s="8">
        <v>34725</v>
      </c>
      <c r="AY136" s="8">
        <v>40024</v>
      </c>
      <c r="AZ136" s="8">
        <v>49802</v>
      </c>
      <c r="BA136" s="8">
        <v>41667</v>
      </c>
      <c r="BB136" s="8">
        <v>46037</v>
      </c>
      <c r="BC136" s="8">
        <v>40138</v>
      </c>
      <c r="BD136" s="8">
        <v>49825</v>
      </c>
      <c r="BE136" s="8">
        <v>46562</v>
      </c>
      <c r="BF136" s="8">
        <v>42444</v>
      </c>
      <c r="BG136" s="8">
        <v>41716</v>
      </c>
      <c r="BH136" s="8">
        <v>32177</v>
      </c>
      <c r="BI136" s="8">
        <v>41118</v>
      </c>
      <c r="BJ136" s="8">
        <v>40689</v>
      </c>
      <c r="BK136" s="8">
        <v>44919</v>
      </c>
      <c r="BL136" s="8">
        <v>37655</v>
      </c>
      <c r="BM136" s="8">
        <v>37621</v>
      </c>
      <c r="BN136" s="8">
        <v>26402</v>
      </c>
      <c r="BO136" s="8">
        <v>36700</v>
      </c>
      <c r="BP136" s="8">
        <v>51508</v>
      </c>
      <c r="BQ136" s="8">
        <v>49331</v>
      </c>
      <c r="BR136" s="8">
        <v>39894</v>
      </c>
      <c r="BS136" s="8">
        <v>44466</v>
      </c>
      <c r="BT136" s="8">
        <v>37199</v>
      </c>
      <c r="BU136" s="8">
        <v>32584</v>
      </c>
      <c r="BV136" s="8">
        <v>36573</v>
      </c>
      <c r="BW136" s="8">
        <v>48592</v>
      </c>
      <c r="BX136" s="8">
        <v>33377</v>
      </c>
      <c r="BY136" s="8">
        <v>31334</v>
      </c>
      <c r="BZ136" s="8">
        <v>41188</v>
      </c>
      <c r="CA136" s="8">
        <v>40335</v>
      </c>
      <c r="CB136" s="8">
        <v>34351</v>
      </c>
      <c r="CC136" s="8">
        <v>42426</v>
      </c>
      <c r="CD136" s="8">
        <v>37315</v>
      </c>
      <c r="CE136" s="8">
        <v>38481</v>
      </c>
      <c r="CF136" s="8">
        <v>27310</v>
      </c>
      <c r="CG136" s="8">
        <v>32482</v>
      </c>
      <c r="CH136" s="8">
        <v>41378</v>
      </c>
      <c r="CJ136" s="9"/>
      <c r="CK136" s="9"/>
      <c r="CL136" s="9"/>
      <c r="CM136" s="9"/>
      <c r="CN136" s="9"/>
      <c r="CO136" s="9"/>
      <c r="CP136" s="9"/>
      <c r="CQ136" s="9"/>
      <c r="CR136" s="9"/>
      <c r="CS136" s="9"/>
      <c r="CT136" s="9"/>
      <c r="CU136" s="9"/>
      <c r="CV136" s="9"/>
      <c r="CW136" s="9"/>
      <c r="CX136" s="9"/>
      <c r="CY136" s="9"/>
      <c r="CZ136" s="9"/>
      <c r="DA136" s="9"/>
      <c r="DB136" s="9"/>
      <c r="DC136" s="9"/>
      <c r="DD136" s="9"/>
      <c r="DE136" s="9"/>
      <c r="DF136" s="9"/>
      <c r="DG136" s="9"/>
      <c r="DH136" s="9"/>
      <c r="DI136" s="9"/>
      <c r="DJ136" s="9"/>
      <c r="DK136" s="9"/>
      <c r="DL136" s="9"/>
      <c r="DM136" s="9"/>
      <c r="DN136" s="9"/>
      <c r="DO136" s="9"/>
      <c r="DP136" s="9"/>
      <c r="DQ136" s="9"/>
      <c r="DR136" s="9"/>
      <c r="DS136" s="9"/>
      <c r="DT136" s="9"/>
      <c r="DU136" s="9"/>
      <c r="DV136" s="9"/>
      <c r="DW136" s="9"/>
      <c r="DX136" s="9"/>
      <c r="DY136" s="9"/>
      <c r="DZ136" s="9"/>
      <c r="EA136" s="9"/>
      <c r="EB136" s="9"/>
      <c r="EC136" s="9"/>
      <c r="ED136" s="9"/>
      <c r="EE136" s="9"/>
      <c r="EF136" s="9"/>
      <c r="EG136" s="9"/>
      <c r="EH136" s="9"/>
      <c r="EI136" s="9"/>
      <c r="EJ136" s="9"/>
      <c r="EK136" s="9"/>
      <c r="EL136" s="9"/>
      <c r="EM136" s="9"/>
      <c r="EN136" s="9"/>
      <c r="EO136" s="9"/>
      <c r="EP136" s="9"/>
      <c r="EQ136" s="9"/>
      <c r="ER136" s="9"/>
      <c r="ES136" s="9"/>
      <c r="ET136" s="9"/>
      <c r="EU136" s="9"/>
      <c r="EV136" s="9"/>
      <c r="EW136" s="9"/>
      <c r="EX136" s="9"/>
      <c r="EY136" s="9"/>
      <c r="EZ136" s="9"/>
      <c r="FA136" s="9"/>
      <c r="FB136" s="9"/>
      <c r="FC136" s="9"/>
      <c r="FD136" s="9"/>
      <c r="FE136" s="9"/>
      <c r="FF136" s="9"/>
      <c r="FG136" s="9"/>
      <c r="FH136" s="9"/>
      <c r="FI136" s="9"/>
    </row>
    <row r="137" spans="1:165" x14ac:dyDescent="0.2">
      <c r="A137" s="1" t="s">
        <v>817</v>
      </c>
      <c r="B137" s="1" t="s">
        <v>818</v>
      </c>
      <c r="C137" s="1" t="s">
        <v>655</v>
      </c>
      <c r="D137" s="1" t="str">
        <f>HYPERLINK("http://eros.fiehnlab.ucdavis.edu:8080/binbase-compound/bin/show/356892?db=rtx5","356892")</f>
        <v>356892</v>
      </c>
      <c r="E137" s="1" t="s">
        <v>819</v>
      </c>
      <c r="F137" s="1" t="s">
        <v>184</v>
      </c>
      <c r="G137" s="1" t="s">
        <v>184</v>
      </c>
      <c r="H137" s="1"/>
      <c r="I137" s="8">
        <v>16201</v>
      </c>
      <c r="J137" s="8">
        <v>13871</v>
      </c>
      <c r="K137" s="8">
        <v>14953</v>
      </c>
      <c r="L137" s="8">
        <v>13494</v>
      </c>
      <c r="M137" s="8">
        <v>16237</v>
      </c>
      <c r="N137" s="8">
        <v>15785</v>
      </c>
      <c r="O137" s="8">
        <v>13613</v>
      </c>
      <c r="P137" s="8">
        <v>15628</v>
      </c>
      <c r="Q137" s="8">
        <v>15667</v>
      </c>
      <c r="R137" s="8">
        <v>16416</v>
      </c>
      <c r="S137" s="8">
        <v>17798</v>
      </c>
      <c r="T137" s="8">
        <v>12254</v>
      </c>
      <c r="U137" s="8">
        <v>8789</v>
      </c>
      <c r="V137" s="8">
        <v>13193</v>
      </c>
      <c r="W137" s="8">
        <v>12127</v>
      </c>
      <c r="X137" s="8">
        <v>16394</v>
      </c>
      <c r="Y137" s="8">
        <v>11617</v>
      </c>
      <c r="Z137" s="8">
        <v>13089</v>
      </c>
      <c r="AA137" s="8">
        <v>9196</v>
      </c>
      <c r="AB137" s="8">
        <v>12951</v>
      </c>
      <c r="AC137" s="8">
        <v>13075</v>
      </c>
      <c r="AD137" s="8">
        <v>14096</v>
      </c>
      <c r="AE137" s="8">
        <v>14961</v>
      </c>
      <c r="AF137" s="8">
        <v>11003</v>
      </c>
      <c r="AG137" s="8">
        <v>10064</v>
      </c>
      <c r="AH137" s="8">
        <v>13722</v>
      </c>
      <c r="AI137" s="8">
        <v>13368</v>
      </c>
      <c r="AJ137" s="8">
        <v>16145</v>
      </c>
      <c r="AK137" s="8">
        <v>12539</v>
      </c>
      <c r="AL137" s="8">
        <v>17154</v>
      </c>
      <c r="AM137" s="8">
        <v>19355</v>
      </c>
      <c r="AN137" s="8">
        <v>18041</v>
      </c>
      <c r="AO137" s="8">
        <v>16218</v>
      </c>
      <c r="AP137" s="8">
        <v>17023</v>
      </c>
      <c r="AQ137" s="8">
        <v>16702</v>
      </c>
      <c r="AR137" s="8">
        <v>13384</v>
      </c>
      <c r="AS137" s="8">
        <v>15132</v>
      </c>
      <c r="AT137" s="8">
        <v>14572</v>
      </c>
      <c r="AU137" s="8">
        <v>13322</v>
      </c>
      <c r="AV137" s="8">
        <v>13296</v>
      </c>
      <c r="AW137" s="8">
        <v>15268</v>
      </c>
      <c r="AX137" s="8">
        <v>12654</v>
      </c>
      <c r="AY137" s="8">
        <v>15681</v>
      </c>
      <c r="AZ137" s="8">
        <v>16269</v>
      </c>
      <c r="BA137" s="8">
        <v>16689</v>
      </c>
      <c r="BB137" s="8">
        <v>16272</v>
      </c>
      <c r="BC137" s="8">
        <v>17513</v>
      </c>
      <c r="BD137" s="8">
        <v>17063</v>
      </c>
      <c r="BE137" s="8">
        <v>14402</v>
      </c>
      <c r="BF137" s="8">
        <v>13977</v>
      </c>
      <c r="BG137" s="8">
        <v>12475</v>
      </c>
      <c r="BH137" s="8">
        <v>11437</v>
      </c>
      <c r="BI137" s="8">
        <v>13001</v>
      </c>
      <c r="BJ137" s="8">
        <v>13247</v>
      </c>
      <c r="BK137" s="8">
        <v>16890</v>
      </c>
      <c r="BL137" s="8">
        <v>15841</v>
      </c>
      <c r="BM137" s="8">
        <v>17003</v>
      </c>
      <c r="BN137" s="8">
        <v>11078</v>
      </c>
      <c r="BO137" s="8">
        <v>15938</v>
      </c>
      <c r="BP137" s="8">
        <v>16432</v>
      </c>
      <c r="BQ137" s="8">
        <v>14083</v>
      </c>
      <c r="BR137" s="8">
        <v>14208</v>
      </c>
      <c r="BS137" s="8">
        <v>14011</v>
      </c>
      <c r="BT137" s="8">
        <v>14184</v>
      </c>
      <c r="BU137" s="8">
        <v>13442</v>
      </c>
      <c r="BV137" s="8">
        <v>14337</v>
      </c>
      <c r="BW137" s="8">
        <v>14658</v>
      </c>
      <c r="BX137" s="8">
        <v>13937</v>
      </c>
      <c r="BY137" s="8">
        <v>13683</v>
      </c>
      <c r="BZ137" s="8">
        <v>14095</v>
      </c>
      <c r="CA137" s="8">
        <v>13894</v>
      </c>
      <c r="CB137" s="8">
        <v>10541</v>
      </c>
      <c r="CC137" s="8">
        <v>13066</v>
      </c>
      <c r="CD137" s="8">
        <v>11750</v>
      </c>
      <c r="CE137" s="8">
        <v>13473</v>
      </c>
      <c r="CF137" s="8">
        <v>10336</v>
      </c>
      <c r="CG137" s="8">
        <v>12414</v>
      </c>
      <c r="CH137" s="8">
        <v>12587</v>
      </c>
      <c r="CJ137" s="9"/>
      <c r="CK137" s="9"/>
      <c r="CL137" s="9"/>
      <c r="CM137" s="9"/>
      <c r="CN137" s="9"/>
      <c r="CO137" s="9"/>
      <c r="CP137" s="9"/>
      <c r="CQ137" s="9"/>
      <c r="CR137" s="9"/>
      <c r="CS137" s="9"/>
      <c r="CT137" s="9"/>
      <c r="CU137" s="9"/>
      <c r="CV137" s="9"/>
      <c r="CW137" s="9"/>
      <c r="CX137" s="9"/>
      <c r="CY137" s="9"/>
      <c r="CZ137" s="9"/>
      <c r="DA137" s="9"/>
      <c r="DB137" s="9"/>
      <c r="DC137" s="9"/>
      <c r="DD137" s="9"/>
      <c r="DE137" s="9"/>
      <c r="DF137" s="9"/>
      <c r="DG137" s="9"/>
      <c r="DH137" s="9"/>
      <c r="DI137" s="9"/>
      <c r="DJ137" s="9"/>
      <c r="DK137" s="9"/>
      <c r="DL137" s="9"/>
      <c r="DM137" s="9"/>
      <c r="DN137" s="9"/>
      <c r="DO137" s="9"/>
      <c r="DP137" s="9"/>
      <c r="DQ137" s="9"/>
      <c r="DR137" s="9"/>
      <c r="DS137" s="9"/>
      <c r="DT137" s="9"/>
      <c r="DU137" s="9"/>
      <c r="DV137" s="9"/>
      <c r="DW137" s="9"/>
      <c r="DX137" s="9"/>
      <c r="DY137" s="9"/>
      <c r="DZ137" s="9"/>
      <c r="EA137" s="9"/>
      <c r="EB137" s="9"/>
      <c r="EC137" s="9"/>
      <c r="ED137" s="9"/>
      <c r="EE137" s="9"/>
      <c r="EF137" s="9"/>
      <c r="EG137" s="9"/>
      <c r="EH137" s="9"/>
      <c r="EI137" s="9"/>
      <c r="EJ137" s="9"/>
      <c r="EK137" s="9"/>
      <c r="EL137" s="9"/>
      <c r="EM137" s="9"/>
      <c r="EN137" s="9"/>
      <c r="EO137" s="9"/>
      <c r="EP137" s="9"/>
      <c r="EQ137" s="9"/>
      <c r="ER137" s="9"/>
      <c r="ES137" s="9"/>
      <c r="ET137" s="9"/>
      <c r="EU137" s="9"/>
      <c r="EV137" s="9"/>
      <c r="EW137" s="9"/>
      <c r="EX137" s="9"/>
      <c r="EY137" s="9"/>
      <c r="EZ137" s="9"/>
      <c r="FA137" s="9"/>
      <c r="FB137" s="9"/>
      <c r="FC137" s="9"/>
      <c r="FD137" s="9"/>
      <c r="FE137" s="9"/>
      <c r="FF137" s="9"/>
      <c r="FG137" s="9"/>
      <c r="FH137" s="9"/>
      <c r="FI137" s="9"/>
    </row>
    <row r="138" spans="1:165" x14ac:dyDescent="0.2">
      <c r="A138" s="1" t="s">
        <v>1038</v>
      </c>
      <c r="B138" s="1" t="s">
        <v>1039</v>
      </c>
      <c r="C138" s="1" t="s">
        <v>1040</v>
      </c>
      <c r="D138" s="1" t="str">
        <f>HYPERLINK("http://eros.fiehnlab.ucdavis.edu:8080/binbase-compound/bin/show/268313?db=rtx5","268313")</f>
        <v>268313</v>
      </c>
      <c r="E138" s="1" t="s">
        <v>1041</v>
      </c>
      <c r="F138" s="1" t="s">
        <v>184</v>
      </c>
      <c r="G138" s="1" t="s">
        <v>184</v>
      </c>
      <c r="H138" s="1"/>
      <c r="I138" s="8">
        <v>10993</v>
      </c>
      <c r="J138" s="8">
        <v>9679</v>
      </c>
      <c r="K138" s="8">
        <v>8498</v>
      </c>
      <c r="L138" s="8">
        <v>7829</v>
      </c>
      <c r="M138" s="8">
        <v>10809</v>
      </c>
      <c r="N138" s="8">
        <v>10735</v>
      </c>
      <c r="O138" s="8">
        <v>9174</v>
      </c>
      <c r="P138" s="8">
        <v>10082</v>
      </c>
      <c r="Q138" s="8">
        <v>10837</v>
      </c>
      <c r="R138" s="8">
        <v>11862</v>
      </c>
      <c r="S138" s="8">
        <v>12881</v>
      </c>
      <c r="T138" s="8">
        <v>7455</v>
      </c>
      <c r="U138" s="8">
        <v>11835</v>
      </c>
      <c r="V138" s="8">
        <v>10475</v>
      </c>
      <c r="W138" s="8">
        <v>9073</v>
      </c>
      <c r="X138" s="8">
        <v>11850</v>
      </c>
      <c r="Y138" s="8">
        <v>8330</v>
      </c>
      <c r="Z138" s="8">
        <v>9045</v>
      </c>
      <c r="AA138" s="8">
        <v>5759</v>
      </c>
      <c r="AB138" s="8">
        <v>8408</v>
      </c>
      <c r="AC138" s="8">
        <v>8324</v>
      </c>
      <c r="AD138" s="8">
        <v>7917</v>
      </c>
      <c r="AE138" s="8">
        <v>9772</v>
      </c>
      <c r="AF138" s="8">
        <v>8153</v>
      </c>
      <c r="AG138" s="8">
        <v>7916</v>
      </c>
      <c r="AH138" s="8">
        <v>9365</v>
      </c>
      <c r="AI138" s="8">
        <v>8017</v>
      </c>
      <c r="AJ138" s="8">
        <v>11045</v>
      </c>
      <c r="AK138" s="8">
        <v>8273</v>
      </c>
      <c r="AL138" s="8">
        <v>11145</v>
      </c>
      <c r="AM138" s="8">
        <v>13628</v>
      </c>
      <c r="AN138" s="8">
        <v>12033</v>
      </c>
      <c r="AO138" s="8">
        <v>10191</v>
      </c>
      <c r="AP138" s="8">
        <v>12247</v>
      </c>
      <c r="AQ138" s="8">
        <v>10317</v>
      </c>
      <c r="AR138" s="8">
        <v>8830</v>
      </c>
      <c r="AS138" s="8">
        <v>9601</v>
      </c>
      <c r="AT138" s="8">
        <v>10690</v>
      </c>
      <c r="AU138" s="8">
        <v>9557</v>
      </c>
      <c r="AV138" s="8">
        <v>8611</v>
      </c>
      <c r="AW138" s="8">
        <v>11018</v>
      </c>
      <c r="AX138" s="8">
        <v>8430</v>
      </c>
      <c r="AY138" s="8">
        <v>9812</v>
      </c>
      <c r="AZ138" s="8">
        <v>11019</v>
      </c>
      <c r="BA138" s="8">
        <v>12261</v>
      </c>
      <c r="BB138" s="8">
        <v>12043</v>
      </c>
      <c r="BC138" s="8">
        <v>11823</v>
      </c>
      <c r="BD138" s="8">
        <v>12213</v>
      </c>
      <c r="BE138" s="8">
        <v>9751</v>
      </c>
      <c r="BF138" s="8">
        <v>9466</v>
      </c>
      <c r="BG138" s="8">
        <v>8775</v>
      </c>
      <c r="BH138" s="8">
        <v>7226</v>
      </c>
      <c r="BI138" s="8">
        <v>9298</v>
      </c>
      <c r="BJ138" s="8">
        <v>9672</v>
      </c>
      <c r="BK138" s="8">
        <v>10855</v>
      </c>
      <c r="BL138" s="8">
        <v>9855</v>
      </c>
      <c r="BM138" s="8">
        <v>10484</v>
      </c>
      <c r="BN138" s="8">
        <v>7941</v>
      </c>
      <c r="BO138" s="8">
        <v>10615</v>
      </c>
      <c r="BP138" s="8">
        <v>12195</v>
      </c>
      <c r="BQ138" s="8">
        <v>10514</v>
      </c>
      <c r="BR138" s="8">
        <v>9138</v>
      </c>
      <c r="BS138" s="8">
        <v>9795</v>
      </c>
      <c r="BT138" s="8">
        <v>10008</v>
      </c>
      <c r="BU138" s="8">
        <v>9080</v>
      </c>
      <c r="BV138" s="8">
        <v>9731</v>
      </c>
      <c r="BW138" s="8">
        <v>10012</v>
      </c>
      <c r="BX138" s="8">
        <v>7865</v>
      </c>
      <c r="BY138" s="8">
        <v>8367</v>
      </c>
      <c r="BZ138" s="8">
        <v>10393</v>
      </c>
      <c r="CA138" s="8">
        <v>10667</v>
      </c>
      <c r="CB138" s="8">
        <v>7484</v>
      </c>
      <c r="CC138" s="8">
        <v>8861</v>
      </c>
      <c r="CD138" s="8">
        <v>7398</v>
      </c>
      <c r="CE138" s="8">
        <v>8794</v>
      </c>
      <c r="CF138" s="8">
        <v>6635</v>
      </c>
      <c r="CG138" s="8">
        <v>8234</v>
      </c>
      <c r="CH138" s="8">
        <v>9949</v>
      </c>
      <c r="CJ138" s="9"/>
      <c r="CK138" s="9"/>
      <c r="CL138" s="9"/>
      <c r="CM138" s="9"/>
      <c r="CN138" s="9"/>
      <c r="CO138" s="9"/>
      <c r="CP138" s="9"/>
      <c r="CQ138" s="9"/>
      <c r="CR138" s="9"/>
      <c r="CS138" s="9"/>
      <c r="CT138" s="9"/>
      <c r="CU138" s="9"/>
      <c r="CV138" s="9"/>
      <c r="CW138" s="9"/>
      <c r="CX138" s="9"/>
      <c r="CY138" s="9"/>
      <c r="CZ138" s="9"/>
      <c r="DA138" s="9"/>
      <c r="DB138" s="9"/>
      <c r="DC138" s="9"/>
      <c r="DD138" s="9"/>
      <c r="DE138" s="9"/>
      <c r="DF138" s="9"/>
      <c r="DG138" s="9"/>
      <c r="DH138" s="9"/>
      <c r="DI138" s="9"/>
      <c r="DJ138" s="9"/>
      <c r="DK138" s="9"/>
      <c r="DL138" s="9"/>
      <c r="DM138" s="9"/>
      <c r="DN138" s="9"/>
      <c r="DO138" s="9"/>
      <c r="DP138" s="9"/>
      <c r="DQ138" s="9"/>
      <c r="DR138" s="9"/>
      <c r="DS138" s="9"/>
      <c r="DT138" s="9"/>
      <c r="DU138" s="9"/>
      <c r="DV138" s="9"/>
      <c r="DW138" s="9"/>
      <c r="DX138" s="9"/>
      <c r="DY138" s="9"/>
      <c r="DZ138" s="9"/>
      <c r="EA138" s="9"/>
      <c r="EB138" s="9"/>
      <c r="EC138" s="9"/>
      <c r="ED138" s="9"/>
      <c r="EE138" s="9"/>
      <c r="EF138" s="9"/>
      <c r="EG138" s="9"/>
      <c r="EH138" s="9"/>
      <c r="EI138" s="9"/>
      <c r="EJ138" s="9"/>
      <c r="EK138" s="9"/>
      <c r="EL138" s="9"/>
      <c r="EM138" s="9"/>
      <c r="EN138" s="9"/>
      <c r="EO138" s="9"/>
      <c r="EP138" s="9"/>
      <c r="EQ138" s="9"/>
      <c r="ER138" s="9"/>
      <c r="ES138" s="9"/>
      <c r="ET138" s="9"/>
      <c r="EU138" s="9"/>
      <c r="EV138" s="9"/>
      <c r="EW138" s="9"/>
      <c r="EX138" s="9"/>
      <c r="EY138" s="9"/>
      <c r="EZ138" s="9"/>
      <c r="FA138" s="9"/>
      <c r="FB138" s="9"/>
      <c r="FC138" s="9"/>
      <c r="FD138" s="9"/>
      <c r="FE138" s="9"/>
      <c r="FF138" s="9"/>
      <c r="FG138" s="9"/>
      <c r="FH138" s="9"/>
      <c r="FI138" s="9"/>
    </row>
    <row r="139" spans="1:165" x14ac:dyDescent="0.2">
      <c r="A139" s="1" t="s">
        <v>706</v>
      </c>
      <c r="B139" s="1" t="s">
        <v>707</v>
      </c>
      <c r="C139" s="1" t="s">
        <v>708</v>
      </c>
      <c r="D139" s="1" t="str">
        <f>HYPERLINK("http://eros.fiehnlab.ucdavis.edu:8080/binbase-compound/bin/show/372853?db=rtx5","372853")</f>
        <v>372853</v>
      </c>
      <c r="E139" s="1" t="s">
        <v>709</v>
      </c>
      <c r="F139" s="1" t="s">
        <v>184</v>
      </c>
      <c r="G139" s="1" t="s">
        <v>184</v>
      </c>
      <c r="H139" s="1"/>
      <c r="I139" s="8">
        <v>4970</v>
      </c>
      <c r="J139" s="8">
        <v>4495</v>
      </c>
      <c r="K139" s="8">
        <v>4572</v>
      </c>
      <c r="L139" s="8">
        <v>4279</v>
      </c>
      <c r="M139" s="8">
        <v>4226</v>
      </c>
      <c r="N139" s="8">
        <v>4386</v>
      </c>
      <c r="O139" s="8">
        <v>5046</v>
      </c>
      <c r="P139" s="8">
        <v>6098</v>
      </c>
      <c r="Q139" s="8">
        <v>1324</v>
      </c>
      <c r="R139" s="8">
        <v>5819</v>
      </c>
      <c r="S139" s="8">
        <v>7008</v>
      </c>
      <c r="T139" s="8">
        <v>2938</v>
      </c>
      <c r="U139" s="8">
        <v>6725</v>
      </c>
      <c r="V139" s="8">
        <v>4799</v>
      </c>
      <c r="W139" s="8">
        <v>3057</v>
      </c>
      <c r="X139" s="8">
        <v>5765</v>
      </c>
      <c r="Y139" s="8">
        <v>4445</v>
      </c>
      <c r="Z139" s="8">
        <v>4888</v>
      </c>
      <c r="AA139" s="8">
        <v>1338</v>
      </c>
      <c r="AB139" s="8">
        <v>5862</v>
      </c>
      <c r="AC139" s="8">
        <v>11128</v>
      </c>
      <c r="AD139" s="8">
        <v>4038</v>
      </c>
      <c r="AE139" s="8">
        <v>5752</v>
      </c>
      <c r="AF139" s="8">
        <v>2702</v>
      </c>
      <c r="AG139" s="8">
        <v>4806</v>
      </c>
      <c r="AH139" s="8">
        <v>4268</v>
      </c>
      <c r="AI139" s="8">
        <v>5266</v>
      </c>
      <c r="AJ139" s="8">
        <v>4818</v>
      </c>
      <c r="AK139" s="8">
        <v>2328</v>
      </c>
      <c r="AL139" s="8">
        <v>5704</v>
      </c>
      <c r="AM139" s="8">
        <v>6251</v>
      </c>
      <c r="AN139" s="8">
        <v>7324</v>
      </c>
      <c r="AO139" s="8">
        <v>5913</v>
      </c>
      <c r="AP139" s="8">
        <v>5543</v>
      </c>
      <c r="AQ139" s="8">
        <v>6190</v>
      </c>
      <c r="AR139" s="8">
        <v>4270</v>
      </c>
      <c r="AS139" s="8">
        <v>5972</v>
      </c>
      <c r="AT139" s="8">
        <v>6301</v>
      </c>
      <c r="AU139" s="8">
        <v>4831</v>
      </c>
      <c r="AV139" s="8">
        <v>4431</v>
      </c>
      <c r="AW139" s="8">
        <v>6038</v>
      </c>
      <c r="AX139" s="8">
        <v>4671</v>
      </c>
      <c r="AY139" s="8">
        <v>8199</v>
      </c>
      <c r="AZ139" s="8">
        <v>4978</v>
      </c>
      <c r="BA139" s="8">
        <v>2505</v>
      </c>
      <c r="BB139" s="8">
        <v>3468</v>
      </c>
      <c r="BC139" s="8">
        <v>7962</v>
      </c>
      <c r="BD139" s="8">
        <v>6887</v>
      </c>
      <c r="BE139" s="8">
        <v>6880</v>
      </c>
      <c r="BF139" s="8">
        <v>6031</v>
      </c>
      <c r="BG139" s="8">
        <v>4475</v>
      </c>
      <c r="BH139" s="8">
        <v>2858</v>
      </c>
      <c r="BI139" s="8">
        <v>3924</v>
      </c>
      <c r="BJ139" s="8">
        <v>6123</v>
      </c>
      <c r="BK139" s="8">
        <v>7636</v>
      </c>
      <c r="BL139" s="8">
        <v>4883</v>
      </c>
      <c r="BM139" s="8">
        <v>3372</v>
      </c>
      <c r="BN139" s="8">
        <v>577</v>
      </c>
      <c r="BO139" s="8">
        <v>6025</v>
      </c>
      <c r="BP139" s="8">
        <v>3368</v>
      </c>
      <c r="BQ139" s="8">
        <v>1935</v>
      </c>
      <c r="BR139" s="8">
        <v>4556</v>
      </c>
      <c r="BS139" s="8">
        <v>7091</v>
      </c>
      <c r="BT139" s="8">
        <v>5633</v>
      </c>
      <c r="BU139" s="8">
        <v>4518</v>
      </c>
      <c r="BV139" s="8">
        <v>4579</v>
      </c>
      <c r="BW139" s="8">
        <v>4627</v>
      </c>
      <c r="BX139" s="8">
        <v>5790</v>
      </c>
      <c r="BY139" s="8">
        <v>5900</v>
      </c>
      <c r="BZ139" s="8">
        <v>4289</v>
      </c>
      <c r="CA139" s="8">
        <v>5958</v>
      </c>
      <c r="CB139" s="8">
        <v>4597</v>
      </c>
      <c r="CC139" s="8">
        <v>5420</v>
      </c>
      <c r="CD139" s="8">
        <v>4804</v>
      </c>
      <c r="CE139" s="8">
        <v>5846</v>
      </c>
      <c r="CF139" s="8">
        <v>4941</v>
      </c>
      <c r="CG139" s="8">
        <v>4788</v>
      </c>
      <c r="CH139" s="8">
        <v>5222</v>
      </c>
      <c r="CJ139" s="9"/>
      <c r="CK139" s="9"/>
      <c r="CL139" s="9"/>
      <c r="CM139" s="9"/>
      <c r="CN139" s="9"/>
      <c r="CO139" s="9"/>
      <c r="CP139" s="9"/>
      <c r="CQ139" s="9"/>
      <c r="CR139" s="9"/>
      <c r="CS139" s="9"/>
      <c r="CT139" s="9"/>
      <c r="CU139" s="9"/>
      <c r="CV139" s="9"/>
      <c r="CW139" s="9"/>
      <c r="CX139" s="9"/>
      <c r="CY139" s="9"/>
      <c r="CZ139" s="9"/>
      <c r="DA139" s="9"/>
      <c r="DB139" s="9"/>
      <c r="DC139" s="9"/>
      <c r="DD139" s="9"/>
      <c r="DE139" s="9"/>
      <c r="DF139" s="9"/>
      <c r="DG139" s="9"/>
      <c r="DH139" s="9"/>
      <c r="DI139" s="9"/>
      <c r="DJ139" s="9"/>
      <c r="DK139" s="9"/>
      <c r="DL139" s="9"/>
      <c r="DM139" s="9"/>
      <c r="DN139" s="9"/>
      <c r="DO139" s="9"/>
      <c r="DP139" s="9"/>
      <c r="DQ139" s="9"/>
      <c r="DR139" s="9"/>
      <c r="DS139" s="9"/>
      <c r="DT139" s="9"/>
      <c r="DU139" s="9"/>
      <c r="DV139" s="9"/>
      <c r="DW139" s="9"/>
      <c r="DX139" s="9"/>
      <c r="DY139" s="9"/>
      <c r="DZ139" s="9"/>
      <c r="EA139" s="9"/>
      <c r="EB139" s="9"/>
      <c r="EC139" s="9"/>
      <c r="ED139" s="9"/>
      <c r="EE139" s="9"/>
      <c r="EF139" s="9"/>
      <c r="EG139" s="9"/>
      <c r="EH139" s="9"/>
      <c r="EI139" s="9"/>
      <c r="EJ139" s="9"/>
      <c r="EK139" s="9"/>
      <c r="EL139" s="9"/>
      <c r="EM139" s="9"/>
      <c r="EN139" s="9"/>
      <c r="EO139" s="9"/>
      <c r="EP139" s="9"/>
      <c r="EQ139" s="9"/>
      <c r="ER139" s="9"/>
      <c r="ES139" s="9"/>
      <c r="ET139" s="9"/>
      <c r="EU139" s="9"/>
      <c r="EV139" s="9"/>
      <c r="EW139" s="9"/>
      <c r="EX139" s="9"/>
      <c r="EY139" s="9"/>
      <c r="EZ139" s="9"/>
      <c r="FA139" s="9"/>
      <c r="FB139" s="9"/>
      <c r="FC139" s="9"/>
      <c r="FD139" s="9"/>
      <c r="FE139" s="9"/>
      <c r="FF139" s="9"/>
      <c r="FG139" s="9"/>
      <c r="FH139" s="9"/>
      <c r="FI139" s="9"/>
    </row>
    <row r="140" spans="1:165" x14ac:dyDescent="0.2">
      <c r="A140" s="1" t="s">
        <v>1299</v>
      </c>
      <c r="B140" s="1" t="s">
        <v>1300</v>
      </c>
      <c r="C140" s="1" t="s">
        <v>453</v>
      </c>
      <c r="D140" s="1" t="str">
        <f>HYPERLINK("http://eros.fiehnlab.ucdavis.edu:8080/binbase-compound/bin/show/212251?db=rtx5","212251")</f>
        <v>212251</v>
      </c>
      <c r="E140" s="1" t="s">
        <v>1301</v>
      </c>
      <c r="F140" s="1" t="s">
        <v>184</v>
      </c>
      <c r="G140" s="1" t="s">
        <v>184</v>
      </c>
      <c r="H140" s="1"/>
      <c r="I140" s="8">
        <v>2488</v>
      </c>
      <c r="J140" s="8">
        <v>2241</v>
      </c>
      <c r="K140" s="8">
        <v>2412</v>
      </c>
      <c r="L140" s="8">
        <v>2609</v>
      </c>
      <c r="M140" s="8">
        <v>2376</v>
      </c>
      <c r="N140" s="8">
        <v>1990</v>
      </c>
      <c r="O140" s="8">
        <v>451</v>
      </c>
      <c r="P140" s="8">
        <v>612</v>
      </c>
      <c r="Q140" s="8">
        <v>509</v>
      </c>
      <c r="R140" s="8">
        <v>568</v>
      </c>
      <c r="S140" s="8">
        <v>584</v>
      </c>
      <c r="T140" s="8">
        <v>275</v>
      </c>
      <c r="U140" s="8">
        <v>494</v>
      </c>
      <c r="V140" s="8">
        <v>474</v>
      </c>
      <c r="W140" s="8">
        <v>730</v>
      </c>
      <c r="X140" s="8">
        <v>277</v>
      </c>
      <c r="Y140" s="8">
        <v>325</v>
      </c>
      <c r="Z140" s="8">
        <v>313</v>
      </c>
      <c r="AA140" s="8">
        <v>731</v>
      </c>
      <c r="AB140" s="8">
        <v>1701</v>
      </c>
      <c r="AC140" s="8">
        <v>1732</v>
      </c>
      <c r="AD140" s="8">
        <v>1381</v>
      </c>
      <c r="AE140" s="8">
        <v>1739</v>
      </c>
      <c r="AF140" s="8">
        <v>1458</v>
      </c>
      <c r="AG140" s="8">
        <v>336</v>
      </c>
      <c r="AH140" s="8">
        <v>1018</v>
      </c>
      <c r="AI140" s="8">
        <v>259</v>
      </c>
      <c r="AJ140" s="8">
        <v>610</v>
      </c>
      <c r="AK140" s="8">
        <v>498</v>
      </c>
      <c r="AL140" s="8">
        <v>426</v>
      </c>
      <c r="AM140" s="8">
        <v>1037</v>
      </c>
      <c r="AN140" s="8">
        <v>1213</v>
      </c>
      <c r="AO140" s="8">
        <v>749</v>
      </c>
      <c r="AP140" s="8">
        <v>755</v>
      </c>
      <c r="AQ140" s="8">
        <v>877</v>
      </c>
      <c r="AR140" s="8">
        <v>847</v>
      </c>
      <c r="AS140" s="8">
        <v>366</v>
      </c>
      <c r="AT140" s="8">
        <v>294</v>
      </c>
      <c r="AU140" s="8">
        <v>236</v>
      </c>
      <c r="AV140" s="8">
        <v>222</v>
      </c>
      <c r="AW140" s="8">
        <v>209</v>
      </c>
      <c r="AX140" s="8">
        <v>216</v>
      </c>
      <c r="AY140" s="8">
        <v>193</v>
      </c>
      <c r="AZ140" s="8">
        <v>252</v>
      </c>
      <c r="BA140" s="8">
        <v>163</v>
      </c>
      <c r="BB140" s="8">
        <v>301</v>
      </c>
      <c r="BC140" s="8">
        <v>260</v>
      </c>
      <c r="BD140" s="8">
        <v>211</v>
      </c>
      <c r="BE140" s="8">
        <v>230</v>
      </c>
      <c r="BF140" s="8">
        <v>982</v>
      </c>
      <c r="BG140" s="8">
        <v>233</v>
      </c>
      <c r="BH140" s="8">
        <v>315</v>
      </c>
      <c r="BI140" s="8">
        <v>378</v>
      </c>
      <c r="BJ140" s="8">
        <v>325</v>
      </c>
      <c r="BK140" s="8">
        <v>852</v>
      </c>
      <c r="BL140" s="8">
        <v>680</v>
      </c>
      <c r="BM140" s="8">
        <v>688</v>
      </c>
      <c r="BN140" s="8">
        <v>647</v>
      </c>
      <c r="BO140" s="8">
        <v>512</v>
      </c>
      <c r="BP140" s="8">
        <v>245</v>
      </c>
      <c r="BQ140" s="8">
        <v>587</v>
      </c>
      <c r="BR140" s="8">
        <v>885</v>
      </c>
      <c r="BS140" s="8">
        <v>670</v>
      </c>
      <c r="BT140" s="8">
        <v>506</v>
      </c>
      <c r="BU140" s="8">
        <v>746</v>
      </c>
      <c r="BV140" s="8">
        <v>605</v>
      </c>
      <c r="BW140" s="8">
        <v>1454</v>
      </c>
      <c r="BX140" s="8">
        <v>1327</v>
      </c>
      <c r="BY140" s="8">
        <v>1132</v>
      </c>
      <c r="BZ140" s="8">
        <v>1136</v>
      </c>
      <c r="CA140" s="8">
        <v>1085</v>
      </c>
      <c r="CB140" s="8">
        <v>956</v>
      </c>
      <c r="CC140" s="8">
        <v>803</v>
      </c>
      <c r="CD140" s="8">
        <v>420</v>
      </c>
      <c r="CE140" s="8">
        <v>581</v>
      </c>
      <c r="CF140" s="8">
        <v>801</v>
      </c>
      <c r="CG140" s="8">
        <v>590</v>
      </c>
      <c r="CH140" s="8">
        <v>1164</v>
      </c>
      <c r="CJ140" s="9"/>
      <c r="CK140" s="9"/>
      <c r="CL140" s="9"/>
      <c r="CM140" s="9"/>
      <c r="CN140" s="9"/>
      <c r="CO140" s="9"/>
      <c r="CP140" s="9"/>
      <c r="CQ140" s="9"/>
      <c r="CR140" s="9"/>
      <c r="CS140" s="9"/>
      <c r="CT140" s="9"/>
      <c r="CU140" s="9"/>
      <c r="CV140" s="9"/>
      <c r="CW140" s="9"/>
      <c r="CX140" s="9"/>
      <c r="CY140" s="9"/>
      <c r="CZ140" s="9"/>
      <c r="DA140" s="9"/>
      <c r="DB140" s="9"/>
      <c r="DC140" s="9"/>
      <c r="DD140" s="9"/>
      <c r="DE140" s="9"/>
      <c r="DF140" s="9"/>
      <c r="DG140" s="9"/>
      <c r="DH140" s="9"/>
      <c r="DI140" s="9"/>
      <c r="DJ140" s="9"/>
      <c r="DK140" s="9"/>
      <c r="DL140" s="9"/>
      <c r="DM140" s="9"/>
      <c r="DN140" s="9"/>
      <c r="DO140" s="9"/>
      <c r="DP140" s="9"/>
      <c r="DQ140" s="9"/>
      <c r="DR140" s="9"/>
      <c r="DS140" s="9"/>
      <c r="DT140" s="9"/>
      <c r="DU140" s="9"/>
      <c r="DV140" s="9"/>
      <c r="DW140" s="9"/>
      <c r="DX140" s="9"/>
      <c r="DY140" s="9"/>
      <c r="DZ140" s="9"/>
      <c r="EA140" s="9"/>
      <c r="EB140" s="9"/>
      <c r="EC140" s="9"/>
      <c r="ED140" s="9"/>
      <c r="EE140" s="9"/>
      <c r="EF140" s="9"/>
      <c r="EG140" s="9"/>
      <c r="EH140" s="9"/>
      <c r="EI140" s="9"/>
      <c r="EJ140" s="9"/>
      <c r="EK140" s="9"/>
      <c r="EL140" s="9"/>
      <c r="EM140" s="9"/>
      <c r="EN140" s="9"/>
      <c r="EO140" s="9"/>
      <c r="EP140" s="9"/>
      <c r="EQ140" s="9"/>
      <c r="ER140" s="9"/>
      <c r="ES140" s="9"/>
      <c r="ET140" s="9"/>
      <c r="EU140" s="9"/>
      <c r="EV140" s="9"/>
      <c r="EW140" s="9"/>
      <c r="EX140" s="9"/>
      <c r="EY140" s="9"/>
      <c r="EZ140" s="9"/>
      <c r="FA140" s="9"/>
      <c r="FB140" s="9"/>
      <c r="FC140" s="9"/>
      <c r="FD140" s="9"/>
      <c r="FE140" s="9"/>
      <c r="FF140" s="9"/>
      <c r="FG140" s="9"/>
      <c r="FH140" s="9"/>
      <c r="FI140" s="9"/>
    </row>
    <row r="141" spans="1:165" x14ac:dyDescent="0.2">
      <c r="A141" s="1" t="s">
        <v>1150</v>
      </c>
      <c r="B141" s="1" t="s">
        <v>1151</v>
      </c>
      <c r="C141" s="1" t="s">
        <v>284</v>
      </c>
      <c r="D141" s="1" t="str">
        <f>HYPERLINK("http://eros.fiehnlab.ucdavis.edu:8080/binbase-compound/bin/show/227832?db=rtx5","227832")</f>
        <v>227832</v>
      </c>
      <c r="E141" s="1" t="s">
        <v>1152</v>
      </c>
      <c r="F141" s="1" t="s">
        <v>184</v>
      </c>
      <c r="G141" s="1" t="s">
        <v>184</v>
      </c>
      <c r="H141" s="1"/>
      <c r="I141" s="8">
        <v>4703</v>
      </c>
      <c r="J141" s="8">
        <v>5228</v>
      </c>
      <c r="K141" s="8">
        <v>4737</v>
      </c>
      <c r="L141" s="8">
        <v>4642</v>
      </c>
      <c r="M141" s="8">
        <v>5711</v>
      </c>
      <c r="N141" s="8">
        <v>5986</v>
      </c>
      <c r="O141" s="8">
        <v>204</v>
      </c>
      <c r="P141" s="8">
        <v>176</v>
      </c>
      <c r="Q141" s="8">
        <v>197</v>
      </c>
      <c r="R141" s="8">
        <v>246</v>
      </c>
      <c r="S141" s="8">
        <v>365</v>
      </c>
      <c r="T141" s="8">
        <v>187</v>
      </c>
      <c r="U141" s="8">
        <v>216</v>
      </c>
      <c r="V141" s="8">
        <v>294</v>
      </c>
      <c r="W141" s="8">
        <v>351</v>
      </c>
      <c r="X141" s="8">
        <v>169</v>
      </c>
      <c r="Y141" s="8">
        <v>164</v>
      </c>
      <c r="Z141" s="8">
        <v>260</v>
      </c>
      <c r="AA141" s="8">
        <v>239</v>
      </c>
      <c r="AB141" s="8">
        <v>373</v>
      </c>
      <c r="AC141" s="8">
        <v>582</v>
      </c>
      <c r="AD141" s="8">
        <v>440</v>
      </c>
      <c r="AE141" s="8">
        <v>540</v>
      </c>
      <c r="AF141" s="8">
        <v>397</v>
      </c>
      <c r="AG141" s="8">
        <v>295</v>
      </c>
      <c r="AH141" s="8">
        <v>320</v>
      </c>
      <c r="AI141" s="8">
        <v>295</v>
      </c>
      <c r="AJ141" s="8">
        <v>469</v>
      </c>
      <c r="AK141" s="8">
        <v>330</v>
      </c>
      <c r="AL141" s="8">
        <v>271</v>
      </c>
      <c r="AM141" s="8">
        <v>278</v>
      </c>
      <c r="AN141" s="8">
        <v>201</v>
      </c>
      <c r="AO141" s="8">
        <v>359</v>
      </c>
      <c r="AP141" s="8">
        <v>337</v>
      </c>
      <c r="AQ141" s="8">
        <v>213</v>
      </c>
      <c r="AR141" s="8">
        <v>214</v>
      </c>
      <c r="AS141" s="8">
        <v>319</v>
      </c>
      <c r="AT141" s="8">
        <v>237</v>
      </c>
      <c r="AU141" s="8">
        <v>225</v>
      </c>
      <c r="AV141" s="8">
        <v>208</v>
      </c>
      <c r="AW141" s="8">
        <v>199</v>
      </c>
      <c r="AX141" s="8">
        <v>222</v>
      </c>
      <c r="AY141" s="8">
        <v>135</v>
      </c>
      <c r="AZ141" s="8">
        <v>152</v>
      </c>
      <c r="BA141" s="8">
        <v>111</v>
      </c>
      <c r="BB141" s="8">
        <v>243</v>
      </c>
      <c r="BC141" s="8">
        <v>174</v>
      </c>
      <c r="BD141" s="8">
        <v>123</v>
      </c>
      <c r="BE141" s="8">
        <v>513</v>
      </c>
      <c r="BF141" s="8">
        <v>337</v>
      </c>
      <c r="BG141" s="8">
        <v>322</v>
      </c>
      <c r="BH141" s="8">
        <v>299</v>
      </c>
      <c r="BI141" s="8">
        <v>224</v>
      </c>
      <c r="BJ141" s="8">
        <v>262</v>
      </c>
      <c r="BK141" s="8">
        <v>379</v>
      </c>
      <c r="BL141" s="8">
        <v>432</v>
      </c>
      <c r="BM141" s="8">
        <v>317</v>
      </c>
      <c r="BN141" s="8">
        <v>248</v>
      </c>
      <c r="BO141" s="8">
        <v>501</v>
      </c>
      <c r="BP141" s="8">
        <v>525</v>
      </c>
      <c r="BQ141" s="8">
        <v>409</v>
      </c>
      <c r="BR141" s="8">
        <v>233</v>
      </c>
      <c r="BS141" s="8">
        <v>373</v>
      </c>
      <c r="BT141" s="8">
        <v>229</v>
      </c>
      <c r="BU141" s="8">
        <v>197</v>
      </c>
      <c r="BV141" s="8">
        <v>241</v>
      </c>
      <c r="BW141" s="8">
        <v>467</v>
      </c>
      <c r="BX141" s="8">
        <v>584</v>
      </c>
      <c r="BY141" s="8">
        <v>365</v>
      </c>
      <c r="BZ141" s="8">
        <v>606</v>
      </c>
      <c r="CA141" s="8">
        <v>613</v>
      </c>
      <c r="CB141" s="8">
        <v>554</v>
      </c>
      <c r="CC141" s="8">
        <v>365</v>
      </c>
      <c r="CD141" s="8">
        <v>373</v>
      </c>
      <c r="CE141" s="8">
        <v>321</v>
      </c>
      <c r="CF141" s="8">
        <v>384</v>
      </c>
      <c r="CG141" s="8">
        <v>471</v>
      </c>
      <c r="CH141" s="8">
        <v>348</v>
      </c>
      <c r="CJ141" s="9"/>
      <c r="CK141" s="9"/>
      <c r="CL141" s="9"/>
      <c r="CM141" s="9"/>
      <c r="CN141" s="9"/>
      <c r="CO141" s="9"/>
      <c r="CP141" s="9"/>
      <c r="CQ141" s="9"/>
      <c r="CR141" s="9"/>
      <c r="CS141" s="9"/>
      <c r="CT141" s="9"/>
      <c r="CU141" s="9"/>
      <c r="CV141" s="9"/>
      <c r="CW141" s="9"/>
      <c r="CX141" s="9"/>
      <c r="CY141" s="9"/>
      <c r="CZ141" s="9"/>
      <c r="DA141" s="9"/>
      <c r="DB141" s="9"/>
      <c r="DC141" s="9"/>
      <c r="DD141" s="9"/>
      <c r="DE141" s="9"/>
      <c r="DF141" s="9"/>
      <c r="DG141" s="9"/>
      <c r="DH141" s="9"/>
      <c r="DI141" s="9"/>
      <c r="DJ141" s="9"/>
      <c r="DK141" s="9"/>
      <c r="DL141" s="9"/>
      <c r="DM141" s="9"/>
      <c r="DN141" s="9"/>
      <c r="DO141" s="9"/>
      <c r="DP141" s="9"/>
      <c r="DQ141" s="9"/>
      <c r="DR141" s="9"/>
      <c r="DS141" s="9"/>
      <c r="DT141" s="9"/>
      <c r="DU141" s="9"/>
      <c r="DV141" s="9"/>
      <c r="DW141" s="9"/>
      <c r="DX141" s="9"/>
      <c r="DY141" s="9"/>
      <c r="DZ141" s="9"/>
      <c r="EA141" s="9"/>
      <c r="EB141" s="9"/>
      <c r="EC141" s="9"/>
      <c r="ED141" s="9"/>
      <c r="EE141" s="9"/>
      <c r="EF141" s="9"/>
      <c r="EG141" s="9"/>
      <c r="EH141" s="9"/>
      <c r="EI141" s="9"/>
      <c r="EJ141" s="9"/>
      <c r="EK141" s="9"/>
      <c r="EL141" s="9"/>
      <c r="EM141" s="9"/>
      <c r="EN141" s="9"/>
      <c r="EO141" s="9"/>
      <c r="EP141" s="9"/>
      <c r="EQ141" s="9"/>
      <c r="ER141" s="9"/>
      <c r="ES141" s="9"/>
      <c r="ET141" s="9"/>
      <c r="EU141" s="9"/>
      <c r="EV141" s="9"/>
      <c r="EW141" s="9"/>
      <c r="EX141" s="9"/>
      <c r="EY141" s="9"/>
      <c r="EZ141" s="9"/>
      <c r="FA141" s="9"/>
      <c r="FB141" s="9"/>
      <c r="FC141" s="9"/>
      <c r="FD141" s="9"/>
      <c r="FE141" s="9"/>
      <c r="FF141" s="9"/>
      <c r="FG141" s="9"/>
      <c r="FH141" s="9"/>
      <c r="FI141" s="9"/>
    </row>
    <row r="142" spans="1:165" x14ac:dyDescent="0.2">
      <c r="A142" s="1" t="s">
        <v>1116</v>
      </c>
      <c r="B142" s="1" t="s">
        <v>1117</v>
      </c>
      <c r="C142" s="1" t="s">
        <v>1118</v>
      </c>
      <c r="D142" s="1" t="str">
        <f>HYPERLINK("http://eros.fiehnlab.ucdavis.edu:8080/binbase-compound/bin/show/229277?db=rtx5","229277")</f>
        <v>229277</v>
      </c>
      <c r="E142" s="1" t="s">
        <v>1119</v>
      </c>
      <c r="F142" s="1" t="s">
        <v>184</v>
      </c>
      <c r="G142" s="1" t="s">
        <v>184</v>
      </c>
      <c r="H142" s="1"/>
      <c r="I142" s="8">
        <v>1763</v>
      </c>
      <c r="J142" s="8">
        <v>1272</v>
      </c>
      <c r="K142" s="8">
        <v>1570</v>
      </c>
      <c r="L142" s="8">
        <v>1298</v>
      </c>
      <c r="M142" s="8">
        <v>2155</v>
      </c>
      <c r="N142" s="8">
        <v>1865</v>
      </c>
      <c r="O142" s="8">
        <v>1655</v>
      </c>
      <c r="P142" s="8">
        <v>1663</v>
      </c>
      <c r="Q142" s="8">
        <v>1633</v>
      </c>
      <c r="R142" s="8">
        <v>1651</v>
      </c>
      <c r="S142" s="8">
        <v>1893</v>
      </c>
      <c r="T142" s="8">
        <v>1102</v>
      </c>
      <c r="U142" s="8">
        <v>1492</v>
      </c>
      <c r="V142" s="8">
        <v>1205</v>
      </c>
      <c r="W142" s="8">
        <v>1541</v>
      </c>
      <c r="X142" s="8">
        <v>1945</v>
      </c>
      <c r="Y142" s="8">
        <v>1228</v>
      </c>
      <c r="Z142" s="8">
        <v>1724</v>
      </c>
      <c r="AA142" s="8">
        <v>1087</v>
      </c>
      <c r="AB142" s="8">
        <v>1226</v>
      </c>
      <c r="AC142" s="8">
        <v>1531</v>
      </c>
      <c r="AD142" s="8">
        <v>1350</v>
      </c>
      <c r="AE142" s="8">
        <v>1334</v>
      </c>
      <c r="AF142" s="8">
        <v>1177</v>
      </c>
      <c r="AG142" s="8">
        <v>2087</v>
      </c>
      <c r="AH142" s="8">
        <v>1837</v>
      </c>
      <c r="AI142" s="8">
        <v>1572</v>
      </c>
      <c r="AJ142" s="8">
        <v>1760</v>
      </c>
      <c r="AK142" s="8">
        <v>1660</v>
      </c>
      <c r="AL142" s="8">
        <v>1560</v>
      </c>
      <c r="AM142" s="8">
        <v>1890</v>
      </c>
      <c r="AN142" s="8">
        <v>2076</v>
      </c>
      <c r="AO142" s="8">
        <v>2706</v>
      </c>
      <c r="AP142" s="8">
        <v>1892</v>
      </c>
      <c r="AQ142" s="8">
        <v>1639</v>
      </c>
      <c r="AR142" s="8">
        <v>1320</v>
      </c>
      <c r="AS142" s="8">
        <v>2114</v>
      </c>
      <c r="AT142" s="8">
        <v>1531</v>
      </c>
      <c r="AU142" s="8">
        <v>1740</v>
      </c>
      <c r="AV142" s="8">
        <v>1880</v>
      </c>
      <c r="AW142" s="8">
        <v>1828</v>
      </c>
      <c r="AX142" s="8">
        <v>1348</v>
      </c>
      <c r="AY142" s="8">
        <v>1680</v>
      </c>
      <c r="AZ142" s="8">
        <v>1787</v>
      </c>
      <c r="BA142" s="8">
        <v>1550</v>
      </c>
      <c r="BB142" s="8">
        <v>2631</v>
      </c>
      <c r="BC142" s="8">
        <v>2504</v>
      </c>
      <c r="BD142" s="8">
        <v>1983</v>
      </c>
      <c r="BE142" s="8">
        <v>1985</v>
      </c>
      <c r="BF142" s="8">
        <v>1378</v>
      </c>
      <c r="BG142" s="8">
        <v>1501</v>
      </c>
      <c r="BH142" s="8">
        <v>1332</v>
      </c>
      <c r="BI142" s="8">
        <v>1562</v>
      </c>
      <c r="BJ142" s="8">
        <v>1433</v>
      </c>
      <c r="BK142" s="8">
        <v>2417</v>
      </c>
      <c r="BL142" s="8">
        <v>1645</v>
      </c>
      <c r="BM142" s="8">
        <v>1988</v>
      </c>
      <c r="BN142" s="8">
        <v>1104</v>
      </c>
      <c r="BO142" s="8">
        <v>1581</v>
      </c>
      <c r="BP142" s="8">
        <v>2156</v>
      </c>
      <c r="BQ142" s="8">
        <v>1709</v>
      </c>
      <c r="BR142" s="8">
        <v>2818</v>
      </c>
      <c r="BS142" s="8">
        <v>1523</v>
      </c>
      <c r="BT142" s="8">
        <v>1805</v>
      </c>
      <c r="BU142" s="8">
        <v>2601</v>
      </c>
      <c r="BV142" s="8">
        <v>1084</v>
      </c>
      <c r="BW142" s="8">
        <v>1334</v>
      </c>
      <c r="BX142" s="8">
        <v>1456</v>
      </c>
      <c r="BY142" s="8">
        <v>1571</v>
      </c>
      <c r="BZ142" s="8">
        <v>1541</v>
      </c>
      <c r="CA142" s="8">
        <v>1965</v>
      </c>
      <c r="CB142" s="8">
        <v>1450</v>
      </c>
      <c r="CC142" s="8">
        <v>1292</v>
      </c>
      <c r="CD142" s="8">
        <v>1316</v>
      </c>
      <c r="CE142" s="8">
        <v>1590</v>
      </c>
      <c r="CF142" s="8">
        <v>1155</v>
      </c>
      <c r="CG142" s="8">
        <v>1146</v>
      </c>
      <c r="CH142" s="8">
        <v>1604</v>
      </c>
      <c r="CJ142" s="9"/>
      <c r="CK142" s="9"/>
      <c r="CL142" s="9"/>
      <c r="CM142" s="9"/>
      <c r="CN142" s="9"/>
      <c r="CO142" s="9"/>
      <c r="CP142" s="9"/>
      <c r="CQ142" s="9"/>
      <c r="CR142" s="9"/>
      <c r="CS142" s="9"/>
      <c r="CT142" s="9"/>
      <c r="CU142" s="9"/>
      <c r="CV142" s="9"/>
      <c r="CW142" s="9"/>
      <c r="CX142" s="9"/>
      <c r="CY142" s="9"/>
      <c r="CZ142" s="9"/>
      <c r="DA142" s="9"/>
      <c r="DB142" s="9"/>
      <c r="DC142" s="9"/>
      <c r="DD142" s="9"/>
      <c r="DE142" s="9"/>
      <c r="DF142" s="9"/>
      <c r="DG142" s="9"/>
      <c r="DH142" s="9"/>
      <c r="DI142" s="9"/>
      <c r="DJ142" s="9"/>
      <c r="DK142" s="9"/>
      <c r="DL142" s="9"/>
      <c r="DM142" s="9"/>
      <c r="DN142" s="9"/>
      <c r="DO142" s="9"/>
      <c r="DP142" s="9"/>
      <c r="DQ142" s="9"/>
      <c r="DR142" s="9"/>
      <c r="DS142" s="9"/>
      <c r="DT142" s="9"/>
      <c r="DU142" s="9"/>
      <c r="DV142" s="9"/>
      <c r="DW142" s="9"/>
      <c r="DX142" s="9"/>
      <c r="DY142" s="9"/>
      <c r="DZ142" s="9"/>
      <c r="EA142" s="9"/>
      <c r="EB142" s="9"/>
      <c r="EC142" s="9"/>
      <c r="ED142" s="9"/>
      <c r="EE142" s="9"/>
      <c r="EF142" s="9"/>
      <c r="EG142" s="9"/>
      <c r="EH142" s="9"/>
      <c r="EI142" s="9"/>
      <c r="EJ142" s="9"/>
      <c r="EK142" s="9"/>
      <c r="EL142" s="9"/>
      <c r="EM142" s="9"/>
      <c r="EN142" s="9"/>
      <c r="EO142" s="9"/>
      <c r="EP142" s="9"/>
      <c r="EQ142" s="9"/>
      <c r="ER142" s="9"/>
      <c r="ES142" s="9"/>
      <c r="ET142" s="9"/>
      <c r="EU142" s="9"/>
      <c r="EV142" s="9"/>
      <c r="EW142" s="9"/>
      <c r="EX142" s="9"/>
      <c r="EY142" s="9"/>
      <c r="EZ142" s="9"/>
      <c r="FA142" s="9"/>
      <c r="FB142" s="9"/>
      <c r="FC142" s="9"/>
      <c r="FD142" s="9"/>
      <c r="FE142" s="9"/>
      <c r="FF142" s="9"/>
      <c r="FG142" s="9"/>
      <c r="FH142" s="9"/>
      <c r="FI142" s="9"/>
    </row>
    <row r="143" spans="1:165" x14ac:dyDescent="0.2">
      <c r="A143" s="1" t="s">
        <v>1029</v>
      </c>
      <c r="B143" s="1" t="s">
        <v>1030</v>
      </c>
      <c r="C143" s="1" t="s">
        <v>764</v>
      </c>
      <c r="D143" s="1" t="str">
        <f>HYPERLINK("http://eros.fiehnlab.ucdavis.edu:8080/binbase-compound/bin/show/268506?db=rtx5","268506")</f>
        <v>268506</v>
      </c>
      <c r="E143" s="1" t="s">
        <v>1031</v>
      </c>
      <c r="F143" s="1" t="s">
        <v>184</v>
      </c>
      <c r="G143" s="1" t="s">
        <v>184</v>
      </c>
      <c r="H143" s="1"/>
      <c r="I143" s="8">
        <v>453</v>
      </c>
      <c r="J143" s="8">
        <v>417</v>
      </c>
      <c r="K143" s="8">
        <v>521</v>
      </c>
      <c r="L143" s="8">
        <v>445</v>
      </c>
      <c r="M143" s="8">
        <v>364</v>
      </c>
      <c r="N143" s="8">
        <v>380</v>
      </c>
      <c r="O143" s="8">
        <v>396</v>
      </c>
      <c r="P143" s="8">
        <v>507</v>
      </c>
      <c r="Q143" s="8">
        <v>399</v>
      </c>
      <c r="R143" s="8">
        <v>369</v>
      </c>
      <c r="S143" s="8">
        <v>375</v>
      </c>
      <c r="T143" s="8">
        <v>237</v>
      </c>
      <c r="U143" s="8">
        <v>658</v>
      </c>
      <c r="V143" s="8">
        <v>405</v>
      </c>
      <c r="W143" s="8">
        <v>405</v>
      </c>
      <c r="X143" s="8">
        <v>355</v>
      </c>
      <c r="Y143" s="8">
        <v>303</v>
      </c>
      <c r="Z143" s="8">
        <v>621</v>
      </c>
      <c r="AA143" s="8">
        <v>105</v>
      </c>
      <c r="AB143" s="8">
        <v>798</v>
      </c>
      <c r="AC143" s="8">
        <v>1615</v>
      </c>
      <c r="AD143" s="8">
        <v>432</v>
      </c>
      <c r="AE143" s="8">
        <v>705</v>
      </c>
      <c r="AF143" s="8">
        <v>296</v>
      </c>
      <c r="AG143" s="8">
        <v>413</v>
      </c>
      <c r="AH143" s="8">
        <v>291</v>
      </c>
      <c r="AI143" s="8">
        <v>530</v>
      </c>
      <c r="AJ143" s="8">
        <v>578</v>
      </c>
      <c r="AK143" s="8">
        <v>236</v>
      </c>
      <c r="AL143" s="8">
        <v>172</v>
      </c>
      <c r="AM143" s="8">
        <v>284</v>
      </c>
      <c r="AN143" s="8">
        <v>563</v>
      </c>
      <c r="AO143" s="8">
        <v>622</v>
      </c>
      <c r="AP143" s="8">
        <v>449</v>
      </c>
      <c r="AQ143" s="8">
        <v>440</v>
      </c>
      <c r="AR143" s="8">
        <v>330</v>
      </c>
      <c r="AS143" s="8">
        <v>423</v>
      </c>
      <c r="AT143" s="8">
        <v>589</v>
      </c>
      <c r="AU143" s="8">
        <v>463</v>
      </c>
      <c r="AV143" s="8">
        <v>300</v>
      </c>
      <c r="AW143" s="8">
        <v>401</v>
      </c>
      <c r="AX143" s="8">
        <v>465</v>
      </c>
      <c r="AY143" s="8">
        <v>826</v>
      </c>
      <c r="AZ143" s="8">
        <v>500</v>
      </c>
      <c r="BA143" s="8">
        <v>370</v>
      </c>
      <c r="BB143" s="8">
        <v>360</v>
      </c>
      <c r="BC143" s="8">
        <v>838</v>
      </c>
      <c r="BD143" s="8">
        <v>690</v>
      </c>
      <c r="BE143" s="8">
        <v>787</v>
      </c>
      <c r="BF143" s="8">
        <v>627</v>
      </c>
      <c r="BG143" s="8">
        <v>882</v>
      </c>
      <c r="BH143" s="8">
        <v>479</v>
      </c>
      <c r="BI143" s="8">
        <v>344</v>
      </c>
      <c r="BJ143" s="8">
        <v>552</v>
      </c>
      <c r="BK143" s="8">
        <v>450</v>
      </c>
      <c r="BL143" s="8">
        <v>302</v>
      </c>
      <c r="BM143" s="8">
        <v>357</v>
      </c>
      <c r="BN143" s="8">
        <v>491</v>
      </c>
      <c r="BO143" s="8">
        <v>304</v>
      </c>
      <c r="BP143" s="8">
        <v>255</v>
      </c>
      <c r="BQ143" s="8">
        <v>786</v>
      </c>
      <c r="BR143" s="8">
        <v>280</v>
      </c>
      <c r="BS143" s="8">
        <v>510</v>
      </c>
      <c r="BT143" s="8">
        <v>496</v>
      </c>
      <c r="BU143" s="8">
        <v>153</v>
      </c>
      <c r="BV143" s="8">
        <v>311</v>
      </c>
      <c r="BW143" s="8">
        <v>594</v>
      </c>
      <c r="BX143" s="8">
        <v>714</v>
      </c>
      <c r="BY143" s="8">
        <v>641</v>
      </c>
      <c r="BZ143" s="8">
        <v>729</v>
      </c>
      <c r="CA143" s="8">
        <v>745</v>
      </c>
      <c r="CB143" s="8">
        <v>588</v>
      </c>
      <c r="CC143" s="8">
        <v>542</v>
      </c>
      <c r="CD143" s="8">
        <v>368</v>
      </c>
      <c r="CE143" s="8">
        <v>446</v>
      </c>
      <c r="CF143" s="8">
        <v>561</v>
      </c>
      <c r="CG143" s="8">
        <v>356</v>
      </c>
      <c r="CH143" s="8">
        <v>513</v>
      </c>
      <c r="CJ143" s="9"/>
      <c r="CK143" s="9"/>
      <c r="CL143" s="9"/>
      <c r="CM143" s="9"/>
      <c r="CN143" s="9"/>
      <c r="CO143" s="9"/>
      <c r="CP143" s="9"/>
      <c r="CQ143" s="9"/>
      <c r="CR143" s="9"/>
      <c r="CS143" s="9"/>
      <c r="CT143" s="9"/>
      <c r="CU143" s="9"/>
      <c r="CV143" s="9"/>
      <c r="CW143" s="9"/>
      <c r="CX143" s="9"/>
      <c r="CY143" s="9"/>
      <c r="CZ143" s="9"/>
      <c r="DA143" s="9"/>
      <c r="DB143" s="9"/>
      <c r="DC143" s="9"/>
      <c r="DD143" s="9"/>
      <c r="DE143" s="9"/>
      <c r="DF143" s="9"/>
      <c r="DG143" s="9"/>
      <c r="DH143" s="9"/>
      <c r="DI143" s="9"/>
      <c r="DJ143" s="9"/>
      <c r="DK143" s="9"/>
      <c r="DL143" s="9"/>
      <c r="DM143" s="9"/>
      <c r="DN143" s="9"/>
      <c r="DO143" s="9"/>
      <c r="DP143" s="9"/>
      <c r="DQ143" s="9"/>
      <c r="DR143" s="9"/>
      <c r="DS143" s="9"/>
      <c r="DT143" s="9"/>
      <c r="DU143" s="9"/>
      <c r="DV143" s="9"/>
      <c r="DW143" s="9"/>
      <c r="DX143" s="9"/>
      <c r="DY143" s="9"/>
      <c r="DZ143" s="9"/>
      <c r="EA143" s="9"/>
      <c r="EB143" s="9"/>
      <c r="EC143" s="9"/>
      <c r="ED143" s="9"/>
      <c r="EE143" s="9"/>
      <c r="EF143" s="9"/>
      <c r="EG143" s="9"/>
      <c r="EH143" s="9"/>
      <c r="EI143" s="9"/>
      <c r="EJ143" s="9"/>
      <c r="EK143" s="9"/>
      <c r="EL143" s="9"/>
      <c r="EM143" s="9"/>
      <c r="EN143" s="9"/>
      <c r="EO143" s="9"/>
      <c r="EP143" s="9"/>
      <c r="EQ143" s="9"/>
      <c r="ER143" s="9"/>
      <c r="ES143" s="9"/>
      <c r="ET143" s="9"/>
      <c r="EU143" s="9"/>
      <c r="EV143" s="9"/>
      <c r="EW143" s="9"/>
      <c r="EX143" s="9"/>
      <c r="EY143" s="9"/>
      <c r="EZ143" s="9"/>
      <c r="FA143" s="9"/>
      <c r="FB143" s="9"/>
      <c r="FC143" s="9"/>
      <c r="FD143" s="9"/>
      <c r="FE143" s="9"/>
      <c r="FF143" s="9"/>
      <c r="FG143" s="9"/>
      <c r="FH143" s="9"/>
      <c r="FI143" s="9"/>
    </row>
    <row r="144" spans="1:165" x14ac:dyDescent="0.2">
      <c r="A144" s="1" t="s">
        <v>1213</v>
      </c>
      <c r="B144" s="1" t="s">
        <v>1214</v>
      </c>
      <c r="C144" s="1" t="s">
        <v>297</v>
      </c>
      <c r="D144" s="1" t="str">
        <f>HYPERLINK("http://eros.fiehnlab.ucdavis.edu:8080/binbase-compound/bin/show/223531?db=rtx5","223531")</f>
        <v>223531</v>
      </c>
      <c r="E144" s="1" t="s">
        <v>1215</v>
      </c>
      <c r="F144" s="1" t="s">
        <v>184</v>
      </c>
      <c r="G144" s="1" t="s">
        <v>184</v>
      </c>
      <c r="H144" s="1"/>
      <c r="I144" s="8">
        <v>450</v>
      </c>
      <c r="J144" s="8">
        <v>470</v>
      </c>
      <c r="K144" s="8">
        <v>349</v>
      </c>
      <c r="L144" s="8">
        <v>444</v>
      </c>
      <c r="M144" s="8">
        <v>384</v>
      </c>
      <c r="N144" s="8">
        <v>562</v>
      </c>
      <c r="O144" s="8">
        <v>306</v>
      </c>
      <c r="P144" s="8">
        <v>493</v>
      </c>
      <c r="Q144" s="8">
        <v>446</v>
      </c>
      <c r="R144" s="8">
        <v>539</v>
      </c>
      <c r="S144" s="8">
        <v>511</v>
      </c>
      <c r="T144" s="8">
        <v>347</v>
      </c>
      <c r="U144" s="8">
        <v>380</v>
      </c>
      <c r="V144" s="8">
        <v>516</v>
      </c>
      <c r="W144" s="8">
        <v>392</v>
      </c>
      <c r="X144" s="8">
        <v>503</v>
      </c>
      <c r="Y144" s="8">
        <v>432</v>
      </c>
      <c r="Z144" s="8">
        <v>458</v>
      </c>
      <c r="AA144" s="8">
        <v>140</v>
      </c>
      <c r="AB144" s="8">
        <v>391</v>
      </c>
      <c r="AC144" s="8">
        <v>441</v>
      </c>
      <c r="AD144" s="8">
        <v>367</v>
      </c>
      <c r="AE144" s="8">
        <v>342</v>
      </c>
      <c r="AF144" s="8">
        <v>346</v>
      </c>
      <c r="AG144" s="8">
        <v>310</v>
      </c>
      <c r="AH144" s="8">
        <v>455</v>
      </c>
      <c r="AI144" s="8">
        <v>303</v>
      </c>
      <c r="AJ144" s="8">
        <v>299</v>
      </c>
      <c r="AK144" s="8">
        <v>455</v>
      </c>
      <c r="AL144" s="8">
        <v>647</v>
      </c>
      <c r="AM144" s="8">
        <v>584</v>
      </c>
      <c r="AN144" s="8">
        <v>627</v>
      </c>
      <c r="AO144" s="8">
        <v>406</v>
      </c>
      <c r="AP144" s="8">
        <v>651</v>
      </c>
      <c r="AQ144" s="8">
        <v>582</v>
      </c>
      <c r="AR144" s="8">
        <v>480</v>
      </c>
      <c r="AS144" s="8">
        <v>407</v>
      </c>
      <c r="AT144" s="8">
        <v>393</v>
      </c>
      <c r="AU144" s="8">
        <v>347</v>
      </c>
      <c r="AV144" s="8">
        <v>461</v>
      </c>
      <c r="AW144" s="8">
        <v>306</v>
      </c>
      <c r="AX144" s="8">
        <v>516</v>
      </c>
      <c r="AY144" s="8">
        <v>604</v>
      </c>
      <c r="AZ144" s="8">
        <v>547</v>
      </c>
      <c r="BA144" s="8">
        <v>497</v>
      </c>
      <c r="BB144" s="8">
        <v>634</v>
      </c>
      <c r="BC144" s="8">
        <v>544</v>
      </c>
      <c r="BD144" s="8">
        <v>699</v>
      </c>
      <c r="BE144" s="8">
        <v>463</v>
      </c>
      <c r="BF144" s="8">
        <v>549</v>
      </c>
      <c r="BG144" s="8">
        <v>340</v>
      </c>
      <c r="BH144" s="8">
        <v>350</v>
      </c>
      <c r="BI144" s="8">
        <v>396</v>
      </c>
      <c r="BJ144" s="8">
        <v>415</v>
      </c>
      <c r="BK144" s="8">
        <v>554</v>
      </c>
      <c r="BL144" s="8">
        <v>422</v>
      </c>
      <c r="BM144" s="8">
        <v>485</v>
      </c>
      <c r="BN144" s="8">
        <v>256</v>
      </c>
      <c r="BO144" s="8">
        <v>351</v>
      </c>
      <c r="BP144" s="8">
        <v>511</v>
      </c>
      <c r="BQ144" s="8">
        <v>460</v>
      </c>
      <c r="BR144" s="8">
        <v>399</v>
      </c>
      <c r="BS144" s="8">
        <v>445</v>
      </c>
      <c r="BT144" s="8">
        <v>463</v>
      </c>
      <c r="BU144" s="8">
        <v>590</v>
      </c>
      <c r="BV144" s="8">
        <v>469</v>
      </c>
      <c r="BW144" s="8">
        <v>344</v>
      </c>
      <c r="BX144" s="8">
        <v>443</v>
      </c>
      <c r="BY144" s="8">
        <v>583</v>
      </c>
      <c r="BZ144" s="8">
        <v>373</v>
      </c>
      <c r="CA144" s="8">
        <v>441</v>
      </c>
      <c r="CB144" s="8">
        <v>447</v>
      </c>
      <c r="CC144" s="8">
        <v>329</v>
      </c>
      <c r="CD144" s="8">
        <v>365</v>
      </c>
      <c r="CE144" s="8">
        <v>478</v>
      </c>
      <c r="CF144" s="8">
        <v>385</v>
      </c>
      <c r="CG144" s="8">
        <v>475</v>
      </c>
      <c r="CH144" s="8">
        <v>504</v>
      </c>
      <c r="CJ144" s="9"/>
      <c r="CK144" s="9"/>
      <c r="CL144" s="9"/>
      <c r="CM144" s="9"/>
      <c r="CN144" s="9"/>
      <c r="CO144" s="9"/>
      <c r="CP144" s="9"/>
      <c r="CQ144" s="9"/>
      <c r="CR144" s="9"/>
      <c r="CS144" s="9"/>
      <c r="CT144" s="9"/>
      <c r="CU144" s="9"/>
      <c r="CV144" s="9"/>
      <c r="CW144" s="9"/>
      <c r="CX144" s="9"/>
      <c r="CY144" s="9"/>
      <c r="CZ144" s="9"/>
      <c r="DA144" s="9"/>
      <c r="DB144" s="9"/>
      <c r="DC144" s="9"/>
      <c r="DD144" s="9"/>
      <c r="DE144" s="9"/>
      <c r="DF144" s="9"/>
      <c r="DG144" s="9"/>
      <c r="DH144" s="9"/>
      <c r="DI144" s="9"/>
      <c r="DJ144" s="9"/>
      <c r="DK144" s="9"/>
      <c r="DL144" s="9"/>
      <c r="DM144" s="9"/>
      <c r="DN144" s="9"/>
      <c r="DO144" s="9"/>
      <c r="DP144" s="9"/>
      <c r="DQ144" s="9"/>
      <c r="DR144" s="9"/>
      <c r="DS144" s="9"/>
      <c r="DT144" s="9"/>
      <c r="DU144" s="9"/>
      <c r="DV144" s="9"/>
      <c r="DW144" s="9"/>
      <c r="DX144" s="9"/>
      <c r="DY144" s="9"/>
      <c r="DZ144" s="9"/>
      <c r="EA144" s="9"/>
      <c r="EB144" s="9"/>
      <c r="EC144" s="9"/>
      <c r="ED144" s="9"/>
      <c r="EE144" s="9"/>
      <c r="EF144" s="9"/>
      <c r="EG144" s="9"/>
      <c r="EH144" s="9"/>
      <c r="EI144" s="9"/>
      <c r="EJ144" s="9"/>
      <c r="EK144" s="9"/>
      <c r="EL144" s="9"/>
      <c r="EM144" s="9"/>
      <c r="EN144" s="9"/>
      <c r="EO144" s="9"/>
      <c r="EP144" s="9"/>
      <c r="EQ144" s="9"/>
      <c r="ER144" s="9"/>
      <c r="ES144" s="9"/>
      <c r="ET144" s="9"/>
      <c r="EU144" s="9"/>
      <c r="EV144" s="9"/>
      <c r="EW144" s="9"/>
      <c r="EX144" s="9"/>
      <c r="EY144" s="9"/>
      <c r="EZ144" s="9"/>
      <c r="FA144" s="9"/>
      <c r="FB144" s="9"/>
      <c r="FC144" s="9"/>
      <c r="FD144" s="9"/>
      <c r="FE144" s="9"/>
      <c r="FF144" s="9"/>
      <c r="FG144" s="9"/>
      <c r="FH144" s="9"/>
      <c r="FI144" s="9"/>
    </row>
    <row r="145" spans="1:165" x14ac:dyDescent="0.2">
      <c r="A145" s="1" t="s">
        <v>891</v>
      </c>
      <c r="B145" s="1" t="s">
        <v>892</v>
      </c>
      <c r="C145" s="1" t="s">
        <v>893</v>
      </c>
      <c r="D145" s="1" t="str">
        <f>HYPERLINK("http://eros.fiehnlab.ucdavis.edu:8080/binbase-compound/bin/show/301399?db=rtx5","301399")</f>
        <v>301399</v>
      </c>
      <c r="E145" s="1" t="s">
        <v>894</v>
      </c>
      <c r="F145" s="1" t="s">
        <v>184</v>
      </c>
      <c r="G145" s="1" t="s">
        <v>184</v>
      </c>
      <c r="H145" s="1"/>
      <c r="I145" s="8">
        <v>277</v>
      </c>
      <c r="J145" s="8">
        <v>456</v>
      </c>
      <c r="K145" s="8">
        <v>337</v>
      </c>
      <c r="L145" s="8">
        <v>316</v>
      </c>
      <c r="M145" s="8">
        <v>551</v>
      </c>
      <c r="N145" s="8">
        <v>455</v>
      </c>
      <c r="O145" s="8">
        <v>400</v>
      </c>
      <c r="P145" s="8">
        <v>437</v>
      </c>
      <c r="Q145" s="8">
        <v>457</v>
      </c>
      <c r="R145" s="8">
        <v>440</v>
      </c>
      <c r="S145" s="8">
        <v>507</v>
      </c>
      <c r="T145" s="8">
        <v>298</v>
      </c>
      <c r="U145" s="8">
        <v>425</v>
      </c>
      <c r="V145" s="8">
        <v>274</v>
      </c>
      <c r="W145" s="8">
        <v>288</v>
      </c>
      <c r="X145" s="8">
        <v>421</v>
      </c>
      <c r="Y145" s="8">
        <v>353</v>
      </c>
      <c r="Z145" s="8">
        <v>354</v>
      </c>
      <c r="AA145" s="8">
        <v>192</v>
      </c>
      <c r="AB145" s="8">
        <v>334</v>
      </c>
      <c r="AC145" s="8">
        <v>337</v>
      </c>
      <c r="AD145" s="8">
        <v>379</v>
      </c>
      <c r="AE145" s="8">
        <v>293</v>
      </c>
      <c r="AF145" s="8">
        <v>385</v>
      </c>
      <c r="AG145" s="8">
        <v>264</v>
      </c>
      <c r="AH145" s="8">
        <v>408</v>
      </c>
      <c r="AI145" s="8">
        <v>343</v>
      </c>
      <c r="AJ145" s="8">
        <v>475</v>
      </c>
      <c r="AK145" s="8">
        <v>387</v>
      </c>
      <c r="AL145" s="8">
        <v>467</v>
      </c>
      <c r="AM145" s="8">
        <v>365</v>
      </c>
      <c r="AN145" s="8">
        <v>386</v>
      </c>
      <c r="AO145" s="8">
        <v>521</v>
      </c>
      <c r="AP145" s="8">
        <v>389</v>
      </c>
      <c r="AQ145" s="8">
        <v>359</v>
      </c>
      <c r="AR145" s="8">
        <v>392</v>
      </c>
      <c r="AS145" s="8">
        <v>561</v>
      </c>
      <c r="AT145" s="8">
        <v>421</v>
      </c>
      <c r="AU145" s="8">
        <v>490</v>
      </c>
      <c r="AV145" s="8">
        <v>350</v>
      </c>
      <c r="AW145" s="8">
        <v>252</v>
      </c>
      <c r="AX145" s="8">
        <v>323</v>
      </c>
      <c r="AY145" s="8">
        <v>473</v>
      </c>
      <c r="AZ145" s="8">
        <v>328</v>
      </c>
      <c r="BA145" s="8">
        <v>582</v>
      </c>
      <c r="BB145" s="8">
        <v>541</v>
      </c>
      <c r="BC145" s="8">
        <v>478</v>
      </c>
      <c r="BD145" s="8">
        <v>473</v>
      </c>
      <c r="BE145" s="8">
        <v>273</v>
      </c>
      <c r="BF145" s="8">
        <v>306</v>
      </c>
      <c r="BG145" s="8">
        <v>442</v>
      </c>
      <c r="BH145" s="8">
        <v>458</v>
      </c>
      <c r="BI145" s="8">
        <v>443</v>
      </c>
      <c r="BJ145" s="8">
        <v>409</v>
      </c>
      <c r="BK145" s="8">
        <v>343</v>
      </c>
      <c r="BL145" s="8">
        <v>415</v>
      </c>
      <c r="BM145" s="8">
        <v>533</v>
      </c>
      <c r="BN145" s="8">
        <v>247</v>
      </c>
      <c r="BO145" s="8">
        <v>478</v>
      </c>
      <c r="BP145" s="8">
        <v>546</v>
      </c>
      <c r="BQ145" s="8">
        <v>507</v>
      </c>
      <c r="BR145" s="8">
        <v>381</v>
      </c>
      <c r="BS145" s="8">
        <v>251</v>
      </c>
      <c r="BT145" s="8">
        <v>322</v>
      </c>
      <c r="BU145" s="8">
        <v>331</v>
      </c>
      <c r="BV145" s="8">
        <v>426</v>
      </c>
      <c r="BW145" s="8">
        <v>263</v>
      </c>
      <c r="BX145" s="8">
        <v>318</v>
      </c>
      <c r="BY145" s="8">
        <v>427</v>
      </c>
      <c r="BZ145" s="8">
        <v>475</v>
      </c>
      <c r="CA145" s="8">
        <v>431</v>
      </c>
      <c r="CB145" s="8">
        <v>336</v>
      </c>
      <c r="CC145" s="8">
        <v>293</v>
      </c>
      <c r="CD145" s="8">
        <v>245</v>
      </c>
      <c r="CE145" s="8">
        <v>299</v>
      </c>
      <c r="CF145" s="8">
        <v>339</v>
      </c>
      <c r="CG145" s="8">
        <v>229</v>
      </c>
      <c r="CH145" s="8">
        <v>336</v>
      </c>
      <c r="CJ145" s="9"/>
      <c r="CK145" s="9"/>
      <c r="CL145" s="9"/>
      <c r="CM145" s="9"/>
      <c r="CN145" s="9"/>
      <c r="CO145" s="9"/>
      <c r="CP145" s="9"/>
      <c r="CQ145" s="9"/>
      <c r="CR145" s="9"/>
      <c r="CS145" s="9"/>
      <c r="CT145" s="9"/>
      <c r="CU145" s="9"/>
      <c r="CV145" s="9"/>
      <c r="CW145" s="9"/>
      <c r="CX145" s="9"/>
      <c r="CY145" s="9"/>
      <c r="CZ145" s="9"/>
      <c r="DA145" s="9"/>
      <c r="DB145" s="9"/>
      <c r="DC145" s="9"/>
      <c r="DD145" s="9"/>
      <c r="DE145" s="9"/>
      <c r="DF145" s="9"/>
      <c r="DG145" s="9"/>
      <c r="DH145" s="9"/>
      <c r="DI145" s="9"/>
      <c r="DJ145" s="9"/>
      <c r="DK145" s="9"/>
      <c r="DL145" s="9"/>
      <c r="DM145" s="9"/>
      <c r="DN145" s="9"/>
      <c r="DO145" s="9"/>
      <c r="DP145" s="9"/>
      <c r="DQ145" s="9"/>
      <c r="DR145" s="9"/>
      <c r="DS145" s="9"/>
      <c r="DT145" s="9"/>
      <c r="DU145" s="9"/>
      <c r="DV145" s="9"/>
      <c r="DW145" s="9"/>
      <c r="DX145" s="9"/>
      <c r="DY145" s="9"/>
      <c r="DZ145" s="9"/>
      <c r="EA145" s="9"/>
      <c r="EB145" s="9"/>
      <c r="EC145" s="9"/>
      <c r="ED145" s="9"/>
      <c r="EE145" s="9"/>
      <c r="EF145" s="9"/>
      <c r="EG145" s="9"/>
      <c r="EH145" s="9"/>
      <c r="EI145" s="9"/>
      <c r="EJ145" s="9"/>
      <c r="EK145" s="9"/>
      <c r="EL145" s="9"/>
      <c r="EM145" s="9"/>
      <c r="EN145" s="9"/>
      <c r="EO145" s="9"/>
      <c r="EP145" s="9"/>
      <c r="EQ145" s="9"/>
      <c r="ER145" s="9"/>
      <c r="ES145" s="9"/>
      <c r="ET145" s="9"/>
      <c r="EU145" s="9"/>
      <c r="EV145" s="9"/>
      <c r="EW145" s="9"/>
      <c r="EX145" s="9"/>
      <c r="EY145" s="9"/>
      <c r="EZ145" s="9"/>
      <c r="FA145" s="9"/>
      <c r="FB145" s="9"/>
      <c r="FC145" s="9"/>
      <c r="FD145" s="9"/>
      <c r="FE145" s="9"/>
      <c r="FF145" s="9"/>
      <c r="FG145" s="9"/>
      <c r="FH145" s="9"/>
      <c r="FI145" s="9"/>
    </row>
    <row r="146" spans="1:165" x14ac:dyDescent="0.2">
      <c r="A146" s="1" t="s">
        <v>977</v>
      </c>
      <c r="B146" s="1" t="s">
        <v>978</v>
      </c>
      <c r="C146" s="1" t="s">
        <v>378</v>
      </c>
      <c r="D146" s="1" t="str">
        <f>HYPERLINK("http://eros.fiehnlab.ucdavis.edu:8080/binbase-compound/bin/show/276368?db=rtx5","276368")</f>
        <v>276368</v>
      </c>
      <c r="E146" s="1" t="s">
        <v>979</v>
      </c>
      <c r="F146" s="1" t="s">
        <v>184</v>
      </c>
      <c r="G146" s="1" t="s">
        <v>184</v>
      </c>
      <c r="H146" s="1"/>
      <c r="I146" s="8">
        <v>7085</v>
      </c>
      <c r="J146" s="8">
        <v>5606</v>
      </c>
      <c r="K146" s="8">
        <v>4457</v>
      </c>
      <c r="L146" s="8">
        <v>5443</v>
      </c>
      <c r="M146" s="8">
        <v>5202</v>
      </c>
      <c r="N146" s="8">
        <v>5102</v>
      </c>
      <c r="O146" s="8">
        <v>4672</v>
      </c>
      <c r="P146" s="8">
        <v>5225</v>
      </c>
      <c r="Q146" s="8">
        <v>4457</v>
      </c>
      <c r="R146" s="8">
        <v>3982</v>
      </c>
      <c r="S146" s="8">
        <v>4336</v>
      </c>
      <c r="T146" s="8">
        <v>4423</v>
      </c>
      <c r="U146" s="8">
        <v>4766</v>
      </c>
      <c r="V146" s="8">
        <v>4830</v>
      </c>
      <c r="W146" s="8">
        <v>3618</v>
      </c>
      <c r="X146" s="8">
        <v>4425</v>
      </c>
      <c r="Y146" s="8">
        <v>4051</v>
      </c>
      <c r="Z146" s="8">
        <v>4435</v>
      </c>
      <c r="AA146" s="8">
        <v>6071</v>
      </c>
      <c r="AB146" s="8">
        <v>5764</v>
      </c>
      <c r="AC146" s="8">
        <v>4660</v>
      </c>
      <c r="AD146" s="8">
        <v>3750</v>
      </c>
      <c r="AE146" s="8">
        <v>6030</v>
      </c>
      <c r="AF146" s="8">
        <v>4951</v>
      </c>
      <c r="AG146" s="8">
        <v>5553</v>
      </c>
      <c r="AH146" s="8">
        <v>5126</v>
      </c>
      <c r="AI146" s="8">
        <v>4331</v>
      </c>
      <c r="AJ146" s="8">
        <v>4578</v>
      </c>
      <c r="AK146" s="8">
        <v>3896</v>
      </c>
      <c r="AL146" s="8">
        <v>3803</v>
      </c>
      <c r="AM146" s="8">
        <v>4999</v>
      </c>
      <c r="AN146" s="8">
        <v>5780</v>
      </c>
      <c r="AO146" s="8">
        <v>4303</v>
      </c>
      <c r="AP146" s="8">
        <v>4777</v>
      </c>
      <c r="AQ146" s="8">
        <v>5539</v>
      </c>
      <c r="AR146" s="8">
        <v>4822</v>
      </c>
      <c r="AS146" s="8">
        <v>4828</v>
      </c>
      <c r="AT146" s="8">
        <v>3862</v>
      </c>
      <c r="AU146" s="8">
        <v>4001</v>
      </c>
      <c r="AV146" s="8">
        <v>4607</v>
      </c>
      <c r="AW146" s="8">
        <v>3876</v>
      </c>
      <c r="AX146" s="8">
        <v>4446</v>
      </c>
      <c r="AY146" s="8">
        <v>4841</v>
      </c>
      <c r="AZ146" s="8">
        <v>7486</v>
      </c>
      <c r="BA146" s="8">
        <v>4230</v>
      </c>
      <c r="BB146" s="8">
        <v>5675</v>
      </c>
      <c r="BC146" s="8">
        <v>5523</v>
      </c>
      <c r="BD146" s="8">
        <v>5189</v>
      </c>
      <c r="BE146" s="8">
        <v>5801</v>
      </c>
      <c r="BF146" s="8">
        <v>3962</v>
      </c>
      <c r="BG146" s="8">
        <v>4950</v>
      </c>
      <c r="BH146" s="8">
        <v>4895</v>
      </c>
      <c r="BI146" s="8">
        <v>4403</v>
      </c>
      <c r="BJ146" s="8">
        <v>4396</v>
      </c>
      <c r="BK146" s="8">
        <v>5212</v>
      </c>
      <c r="BL146" s="8">
        <v>4750</v>
      </c>
      <c r="BM146" s="8">
        <v>4113</v>
      </c>
      <c r="BN146" s="8">
        <v>5009</v>
      </c>
      <c r="BO146" s="8">
        <v>5529</v>
      </c>
      <c r="BP146" s="8">
        <v>3945</v>
      </c>
      <c r="BQ146" s="8">
        <v>5160</v>
      </c>
      <c r="BR146" s="8">
        <v>6213</v>
      </c>
      <c r="BS146" s="8">
        <v>5679</v>
      </c>
      <c r="BT146" s="8">
        <v>3681</v>
      </c>
      <c r="BU146" s="8">
        <v>4554</v>
      </c>
      <c r="BV146" s="8">
        <v>4363</v>
      </c>
      <c r="BW146" s="8">
        <v>4329</v>
      </c>
      <c r="BX146" s="8">
        <v>4046</v>
      </c>
      <c r="BY146" s="8">
        <v>4247</v>
      </c>
      <c r="BZ146" s="8">
        <v>5328</v>
      </c>
      <c r="CA146" s="8">
        <v>4919</v>
      </c>
      <c r="CB146" s="8">
        <v>5433</v>
      </c>
      <c r="CC146" s="8">
        <v>5217</v>
      </c>
      <c r="CD146" s="8">
        <v>8818</v>
      </c>
      <c r="CE146" s="8">
        <v>5272</v>
      </c>
      <c r="CF146" s="8">
        <v>4628</v>
      </c>
      <c r="CG146" s="8">
        <v>5873</v>
      </c>
      <c r="CH146" s="8">
        <v>4239</v>
      </c>
      <c r="CJ146" s="9"/>
      <c r="CK146" s="9"/>
      <c r="CL146" s="9"/>
      <c r="CM146" s="9"/>
      <c r="CN146" s="9"/>
      <c r="CO146" s="9"/>
      <c r="CP146" s="9"/>
      <c r="CQ146" s="9"/>
      <c r="CR146" s="9"/>
      <c r="CS146" s="9"/>
      <c r="CT146" s="9"/>
      <c r="CU146" s="9"/>
      <c r="CV146" s="9"/>
      <c r="CW146" s="9"/>
      <c r="CX146" s="9"/>
      <c r="CY146" s="9"/>
      <c r="CZ146" s="9"/>
      <c r="DA146" s="9"/>
      <c r="DB146" s="9"/>
      <c r="DC146" s="9"/>
      <c r="DD146" s="9"/>
      <c r="DE146" s="9"/>
      <c r="DF146" s="9"/>
      <c r="DG146" s="9"/>
      <c r="DH146" s="9"/>
      <c r="DI146" s="9"/>
      <c r="DJ146" s="9"/>
      <c r="DK146" s="9"/>
      <c r="DL146" s="9"/>
      <c r="DM146" s="9"/>
      <c r="DN146" s="9"/>
      <c r="DO146" s="9"/>
      <c r="DP146" s="9"/>
      <c r="DQ146" s="9"/>
      <c r="DR146" s="9"/>
      <c r="DS146" s="9"/>
      <c r="DT146" s="9"/>
      <c r="DU146" s="9"/>
      <c r="DV146" s="9"/>
      <c r="DW146" s="9"/>
      <c r="DX146" s="9"/>
      <c r="DY146" s="9"/>
      <c r="DZ146" s="9"/>
      <c r="EA146" s="9"/>
      <c r="EB146" s="9"/>
      <c r="EC146" s="9"/>
      <c r="ED146" s="9"/>
      <c r="EE146" s="9"/>
      <c r="EF146" s="9"/>
      <c r="EG146" s="9"/>
      <c r="EH146" s="9"/>
      <c r="EI146" s="9"/>
      <c r="EJ146" s="9"/>
      <c r="EK146" s="9"/>
      <c r="EL146" s="9"/>
      <c r="EM146" s="9"/>
      <c r="EN146" s="9"/>
      <c r="EO146" s="9"/>
      <c r="EP146" s="9"/>
      <c r="EQ146" s="9"/>
      <c r="ER146" s="9"/>
      <c r="ES146" s="9"/>
      <c r="ET146" s="9"/>
      <c r="EU146" s="9"/>
      <c r="EV146" s="9"/>
      <c r="EW146" s="9"/>
      <c r="EX146" s="9"/>
      <c r="EY146" s="9"/>
      <c r="EZ146" s="9"/>
      <c r="FA146" s="9"/>
      <c r="FB146" s="9"/>
      <c r="FC146" s="9"/>
      <c r="FD146" s="9"/>
      <c r="FE146" s="9"/>
      <c r="FF146" s="9"/>
      <c r="FG146" s="9"/>
      <c r="FH146" s="9"/>
      <c r="FI146" s="9"/>
    </row>
    <row r="147" spans="1:165" x14ac:dyDescent="0.2">
      <c r="A147" s="1" t="s">
        <v>729</v>
      </c>
      <c r="B147" s="1" t="s">
        <v>730</v>
      </c>
      <c r="C147" s="1" t="s">
        <v>731</v>
      </c>
      <c r="D147" s="1" t="str">
        <f>HYPERLINK("http://eros.fiehnlab.ucdavis.edu:8080/binbase-compound/bin/show/369271?db=rtx5","369271")</f>
        <v>369271</v>
      </c>
      <c r="E147" s="1" t="s">
        <v>732</v>
      </c>
      <c r="F147" s="1" t="s">
        <v>184</v>
      </c>
      <c r="G147" s="1" t="s">
        <v>184</v>
      </c>
      <c r="H147" s="1"/>
      <c r="I147" s="8">
        <v>1517</v>
      </c>
      <c r="J147" s="8">
        <v>1404</v>
      </c>
      <c r="K147" s="8">
        <v>1613</v>
      </c>
      <c r="L147" s="8">
        <v>1322</v>
      </c>
      <c r="M147" s="8">
        <v>1786</v>
      </c>
      <c r="N147" s="8">
        <v>1567</v>
      </c>
      <c r="O147" s="8">
        <v>1140</v>
      </c>
      <c r="P147" s="8">
        <v>1512</v>
      </c>
      <c r="Q147" s="8">
        <v>1659</v>
      </c>
      <c r="R147" s="8">
        <v>1718</v>
      </c>
      <c r="S147" s="8">
        <v>2129</v>
      </c>
      <c r="T147" s="8">
        <v>1313</v>
      </c>
      <c r="U147" s="8">
        <v>864</v>
      </c>
      <c r="V147" s="8">
        <v>1276</v>
      </c>
      <c r="W147" s="8">
        <v>1476</v>
      </c>
      <c r="X147" s="8">
        <v>1659</v>
      </c>
      <c r="Y147" s="8">
        <v>1300</v>
      </c>
      <c r="Z147" s="8">
        <v>1282</v>
      </c>
      <c r="AA147" s="8">
        <v>752</v>
      </c>
      <c r="AB147" s="8">
        <v>1343</v>
      </c>
      <c r="AC147" s="8">
        <v>1402</v>
      </c>
      <c r="AD147" s="8">
        <v>1528</v>
      </c>
      <c r="AE147" s="8">
        <v>1422</v>
      </c>
      <c r="AF147" s="8">
        <v>1260</v>
      </c>
      <c r="AG147" s="8">
        <v>977</v>
      </c>
      <c r="AH147" s="8">
        <v>1287</v>
      </c>
      <c r="AI147" s="8">
        <v>1272</v>
      </c>
      <c r="AJ147" s="8">
        <v>1677</v>
      </c>
      <c r="AK147" s="8">
        <v>1237</v>
      </c>
      <c r="AL147" s="8">
        <v>1839</v>
      </c>
      <c r="AM147" s="8">
        <v>1645</v>
      </c>
      <c r="AN147" s="8">
        <v>1725</v>
      </c>
      <c r="AO147" s="8">
        <v>1797</v>
      </c>
      <c r="AP147" s="8">
        <v>1844</v>
      </c>
      <c r="AQ147" s="8">
        <v>1974</v>
      </c>
      <c r="AR147" s="8">
        <v>1364</v>
      </c>
      <c r="AS147" s="8">
        <v>1620</v>
      </c>
      <c r="AT147" s="8">
        <v>1602</v>
      </c>
      <c r="AU147" s="8">
        <v>1267</v>
      </c>
      <c r="AV147" s="8">
        <v>1459</v>
      </c>
      <c r="AW147" s="8">
        <v>1487</v>
      </c>
      <c r="AX147" s="8">
        <v>1224</v>
      </c>
      <c r="AY147" s="8">
        <v>1625</v>
      </c>
      <c r="AZ147" s="8">
        <v>1582</v>
      </c>
      <c r="BA147" s="8">
        <v>1749</v>
      </c>
      <c r="BB147" s="8">
        <v>1708</v>
      </c>
      <c r="BC147" s="8">
        <v>1654</v>
      </c>
      <c r="BD147" s="8">
        <v>1768</v>
      </c>
      <c r="BE147" s="8">
        <v>1526</v>
      </c>
      <c r="BF147" s="8">
        <v>1415</v>
      </c>
      <c r="BG147" s="8">
        <v>1189</v>
      </c>
      <c r="BH147" s="8">
        <v>1112</v>
      </c>
      <c r="BI147" s="8">
        <v>1683</v>
      </c>
      <c r="BJ147" s="8">
        <v>1240</v>
      </c>
      <c r="BK147" s="8">
        <v>1546</v>
      </c>
      <c r="BL147" s="8">
        <v>1561</v>
      </c>
      <c r="BM147" s="8">
        <v>1533</v>
      </c>
      <c r="BN147" s="8">
        <v>1188</v>
      </c>
      <c r="BO147" s="8">
        <v>1846</v>
      </c>
      <c r="BP147" s="8">
        <v>1631</v>
      </c>
      <c r="BQ147" s="8">
        <v>1252</v>
      </c>
      <c r="BR147" s="8">
        <v>1544</v>
      </c>
      <c r="BS147" s="8">
        <v>1413</v>
      </c>
      <c r="BT147" s="8">
        <v>1450</v>
      </c>
      <c r="BU147" s="8">
        <v>1438</v>
      </c>
      <c r="BV147" s="8">
        <v>1430</v>
      </c>
      <c r="BW147" s="8">
        <v>1489</v>
      </c>
      <c r="BX147" s="8">
        <v>1416</v>
      </c>
      <c r="BY147" s="8">
        <v>1364</v>
      </c>
      <c r="BZ147" s="8">
        <v>1643</v>
      </c>
      <c r="CA147" s="8">
        <v>1482</v>
      </c>
      <c r="CB147" s="8">
        <v>1071</v>
      </c>
      <c r="CC147" s="8">
        <v>1376</v>
      </c>
      <c r="CD147" s="8">
        <v>1196</v>
      </c>
      <c r="CE147" s="8">
        <v>1188</v>
      </c>
      <c r="CF147" s="8">
        <v>1061</v>
      </c>
      <c r="CG147" s="8">
        <v>1207</v>
      </c>
      <c r="CH147" s="8">
        <v>1363</v>
      </c>
      <c r="CJ147" s="9"/>
      <c r="CK147" s="9"/>
      <c r="CL147" s="9"/>
      <c r="CM147" s="9"/>
      <c r="CN147" s="9"/>
      <c r="CO147" s="9"/>
      <c r="CP147" s="9"/>
      <c r="CQ147" s="9"/>
      <c r="CR147" s="9"/>
      <c r="CS147" s="9"/>
      <c r="CT147" s="9"/>
      <c r="CU147" s="9"/>
      <c r="CV147" s="9"/>
      <c r="CW147" s="9"/>
      <c r="CX147" s="9"/>
      <c r="CY147" s="9"/>
      <c r="CZ147" s="9"/>
      <c r="DA147" s="9"/>
      <c r="DB147" s="9"/>
      <c r="DC147" s="9"/>
      <c r="DD147" s="9"/>
      <c r="DE147" s="9"/>
      <c r="DF147" s="9"/>
      <c r="DG147" s="9"/>
      <c r="DH147" s="9"/>
      <c r="DI147" s="9"/>
      <c r="DJ147" s="9"/>
      <c r="DK147" s="9"/>
      <c r="DL147" s="9"/>
      <c r="DM147" s="9"/>
      <c r="DN147" s="9"/>
      <c r="DO147" s="9"/>
      <c r="DP147" s="9"/>
      <c r="DQ147" s="9"/>
      <c r="DR147" s="9"/>
      <c r="DS147" s="9"/>
      <c r="DT147" s="9"/>
      <c r="DU147" s="9"/>
      <c r="DV147" s="9"/>
      <c r="DW147" s="9"/>
      <c r="DX147" s="9"/>
      <c r="DY147" s="9"/>
      <c r="DZ147" s="9"/>
      <c r="EA147" s="9"/>
      <c r="EB147" s="9"/>
      <c r="EC147" s="9"/>
      <c r="ED147" s="9"/>
      <c r="EE147" s="9"/>
      <c r="EF147" s="9"/>
      <c r="EG147" s="9"/>
      <c r="EH147" s="9"/>
      <c r="EI147" s="9"/>
      <c r="EJ147" s="9"/>
      <c r="EK147" s="9"/>
      <c r="EL147" s="9"/>
      <c r="EM147" s="9"/>
      <c r="EN147" s="9"/>
      <c r="EO147" s="9"/>
      <c r="EP147" s="9"/>
      <c r="EQ147" s="9"/>
      <c r="ER147" s="9"/>
      <c r="ES147" s="9"/>
      <c r="ET147" s="9"/>
      <c r="EU147" s="9"/>
      <c r="EV147" s="9"/>
      <c r="EW147" s="9"/>
      <c r="EX147" s="9"/>
      <c r="EY147" s="9"/>
      <c r="EZ147" s="9"/>
      <c r="FA147" s="9"/>
      <c r="FB147" s="9"/>
      <c r="FC147" s="9"/>
      <c r="FD147" s="9"/>
      <c r="FE147" s="9"/>
      <c r="FF147" s="9"/>
      <c r="FG147" s="9"/>
      <c r="FH147" s="9"/>
      <c r="FI147" s="9"/>
    </row>
    <row r="148" spans="1:165" x14ac:dyDescent="0.2">
      <c r="A148" s="1" t="s">
        <v>700</v>
      </c>
      <c r="B148" s="1" t="s">
        <v>701</v>
      </c>
      <c r="C148" s="1" t="s">
        <v>265</v>
      </c>
      <c r="D148" s="1" t="str">
        <f>HYPERLINK("http://eros.fiehnlab.ucdavis.edu:8080/binbase-compound/bin/show/372926?db=rtx5","372926")</f>
        <v>372926</v>
      </c>
      <c r="E148" s="1" t="s">
        <v>702</v>
      </c>
      <c r="F148" s="1" t="s">
        <v>184</v>
      </c>
      <c r="G148" s="1" t="s">
        <v>184</v>
      </c>
      <c r="H148" s="1"/>
      <c r="I148" s="8">
        <v>172840</v>
      </c>
      <c r="J148" s="8">
        <v>129366</v>
      </c>
      <c r="K148" s="8">
        <v>126366</v>
      </c>
      <c r="L148" s="8">
        <v>122189</v>
      </c>
      <c r="M148" s="8">
        <v>109304</v>
      </c>
      <c r="N148" s="8">
        <v>135985</v>
      </c>
      <c r="O148" s="8">
        <v>110188</v>
      </c>
      <c r="P148" s="8">
        <v>159523</v>
      </c>
      <c r="Q148" s="8">
        <v>176556</v>
      </c>
      <c r="R148" s="8">
        <v>135435</v>
      </c>
      <c r="S148" s="8">
        <v>165503</v>
      </c>
      <c r="T148" s="8">
        <v>91482</v>
      </c>
      <c r="U148" s="8">
        <v>130874</v>
      </c>
      <c r="V148" s="8">
        <v>117043</v>
      </c>
      <c r="W148" s="8">
        <v>75555</v>
      </c>
      <c r="X148" s="8">
        <v>169510</v>
      </c>
      <c r="Y148" s="8">
        <v>102882</v>
      </c>
      <c r="Z148" s="8">
        <v>147621</v>
      </c>
      <c r="AA148" s="8">
        <v>39187</v>
      </c>
      <c r="AB148" s="8">
        <v>195323</v>
      </c>
      <c r="AC148" s="8">
        <v>324020</v>
      </c>
      <c r="AD148" s="8">
        <v>106088</v>
      </c>
      <c r="AE148" s="8">
        <v>192854</v>
      </c>
      <c r="AF148" s="8">
        <v>74982</v>
      </c>
      <c r="AG148" s="8">
        <v>133771</v>
      </c>
      <c r="AH148" s="8">
        <v>97734</v>
      </c>
      <c r="AI148" s="8">
        <v>125566</v>
      </c>
      <c r="AJ148" s="8">
        <v>145910</v>
      </c>
      <c r="AK148" s="8">
        <v>62256</v>
      </c>
      <c r="AL148" s="8">
        <v>158951</v>
      </c>
      <c r="AM148" s="8">
        <v>171538</v>
      </c>
      <c r="AN148" s="8">
        <v>196803</v>
      </c>
      <c r="AO148" s="8">
        <v>182118</v>
      </c>
      <c r="AP148" s="8">
        <v>154945</v>
      </c>
      <c r="AQ148" s="8">
        <v>187405</v>
      </c>
      <c r="AR148" s="8">
        <v>101395</v>
      </c>
      <c r="AS148" s="8">
        <v>142094</v>
      </c>
      <c r="AT148" s="8">
        <v>158808</v>
      </c>
      <c r="AU148" s="8">
        <v>121075</v>
      </c>
      <c r="AV148" s="8">
        <v>126018</v>
      </c>
      <c r="AW148" s="8">
        <v>148870</v>
      </c>
      <c r="AX148" s="8">
        <v>146905</v>
      </c>
      <c r="AY148" s="8">
        <v>220270</v>
      </c>
      <c r="AZ148" s="8">
        <v>148000</v>
      </c>
      <c r="BA148" s="8">
        <v>71721</v>
      </c>
      <c r="BB148" s="8">
        <v>102247</v>
      </c>
      <c r="BC148" s="8">
        <v>235428</v>
      </c>
      <c r="BD148" s="8">
        <v>173650</v>
      </c>
      <c r="BE148" s="8">
        <v>194575</v>
      </c>
      <c r="BF148" s="8">
        <v>160267</v>
      </c>
      <c r="BG148" s="8">
        <v>162126</v>
      </c>
      <c r="BH148" s="8">
        <v>81600</v>
      </c>
      <c r="BI148" s="8">
        <v>98752</v>
      </c>
      <c r="BJ148" s="8">
        <v>151389</v>
      </c>
      <c r="BK148" s="8">
        <v>214133</v>
      </c>
      <c r="BL148" s="8">
        <v>148219</v>
      </c>
      <c r="BM148" s="8">
        <v>98118</v>
      </c>
      <c r="BN148" s="8">
        <v>129355</v>
      </c>
      <c r="BO148" s="8">
        <v>147314</v>
      </c>
      <c r="BP148" s="8">
        <v>80682</v>
      </c>
      <c r="BQ148" s="8">
        <v>162399</v>
      </c>
      <c r="BR148" s="8">
        <v>114860</v>
      </c>
      <c r="BS148" s="8">
        <v>214383</v>
      </c>
      <c r="BT148" s="8">
        <v>159451</v>
      </c>
      <c r="BU148" s="8">
        <v>107530</v>
      </c>
      <c r="BV148" s="8">
        <v>112637</v>
      </c>
      <c r="BW148" s="8">
        <v>113649</v>
      </c>
      <c r="BX148" s="8">
        <v>177141</v>
      </c>
      <c r="BY148" s="8">
        <v>169742</v>
      </c>
      <c r="BZ148" s="8">
        <v>146427</v>
      </c>
      <c r="CA148" s="8">
        <v>190255</v>
      </c>
      <c r="CB148" s="8">
        <v>150850</v>
      </c>
      <c r="CC148" s="8">
        <v>136801</v>
      </c>
      <c r="CD148" s="8">
        <v>131131</v>
      </c>
      <c r="CE148" s="8">
        <v>157914</v>
      </c>
      <c r="CF148" s="8">
        <v>130897</v>
      </c>
      <c r="CG148" s="8">
        <v>137442</v>
      </c>
      <c r="CH148" s="8">
        <v>143080</v>
      </c>
      <c r="CJ148" s="9"/>
      <c r="CK148" s="9"/>
      <c r="CL148" s="9"/>
      <c r="CM148" s="9"/>
      <c r="CN148" s="9"/>
      <c r="CO148" s="9"/>
      <c r="CP148" s="9"/>
      <c r="CQ148" s="9"/>
      <c r="CR148" s="9"/>
      <c r="CS148" s="9"/>
      <c r="CT148" s="9"/>
      <c r="CU148" s="9"/>
      <c r="CV148" s="9"/>
      <c r="CW148" s="9"/>
      <c r="CX148" s="9"/>
      <c r="CY148" s="9"/>
      <c r="CZ148" s="9"/>
      <c r="DA148" s="9"/>
      <c r="DB148" s="9"/>
      <c r="DC148" s="9"/>
      <c r="DD148" s="9"/>
      <c r="DE148" s="9"/>
      <c r="DF148" s="9"/>
      <c r="DG148" s="9"/>
      <c r="DH148" s="9"/>
      <c r="DI148" s="9"/>
      <c r="DJ148" s="9"/>
      <c r="DK148" s="9"/>
      <c r="DL148" s="9"/>
      <c r="DM148" s="9"/>
      <c r="DN148" s="9"/>
      <c r="DO148" s="9"/>
      <c r="DP148" s="9"/>
      <c r="DQ148" s="9"/>
      <c r="DR148" s="9"/>
      <c r="DS148" s="9"/>
      <c r="DT148" s="9"/>
      <c r="DU148" s="9"/>
      <c r="DV148" s="9"/>
      <c r="DW148" s="9"/>
      <c r="DX148" s="9"/>
      <c r="DY148" s="9"/>
      <c r="DZ148" s="9"/>
      <c r="EA148" s="9"/>
      <c r="EB148" s="9"/>
      <c r="EC148" s="9"/>
      <c r="ED148" s="9"/>
      <c r="EE148" s="9"/>
      <c r="EF148" s="9"/>
      <c r="EG148" s="9"/>
      <c r="EH148" s="9"/>
      <c r="EI148" s="9"/>
      <c r="EJ148" s="9"/>
      <c r="EK148" s="9"/>
      <c r="EL148" s="9"/>
      <c r="EM148" s="9"/>
      <c r="EN148" s="9"/>
      <c r="EO148" s="9"/>
      <c r="EP148" s="9"/>
      <c r="EQ148" s="9"/>
      <c r="ER148" s="9"/>
      <c r="ES148" s="9"/>
      <c r="ET148" s="9"/>
      <c r="EU148" s="9"/>
      <c r="EV148" s="9"/>
      <c r="EW148" s="9"/>
      <c r="EX148" s="9"/>
      <c r="EY148" s="9"/>
      <c r="EZ148" s="9"/>
      <c r="FA148" s="9"/>
      <c r="FB148" s="9"/>
      <c r="FC148" s="9"/>
      <c r="FD148" s="9"/>
      <c r="FE148" s="9"/>
      <c r="FF148" s="9"/>
      <c r="FG148" s="9"/>
      <c r="FH148" s="9"/>
      <c r="FI148" s="9"/>
    </row>
    <row r="149" spans="1:165" x14ac:dyDescent="0.2">
      <c r="A149" s="1" t="s">
        <v>1045</v>
      </c>
      <c r="B149" s="1" t="s">
        <v>1046</v>
      </c>
      <c r="C149" s="1" t="s">
        <v>764</v>
      </c>
      <c r="D149" s="1" t="str">
        <f>HYPERLINK("http://eros.fiehnlab.ucdavis.edu:8080/binbase-compound/bin/show/242681?db=rtx5","242681")</f>
        <v>242681</v>
      </c>
      <c r="E149" s="1" t="s">
        <v>1047</v>
      </c>
      <c r="F149" s="1" t="s">
        <v>184</v>
      </c>
      <c r="G149" s="1" t="s">
        <v>184</v>
      </c>
      <c r="H149" s="1"/>
      <c r="I149" s="8">
        <v>1059</v>
      </c>
      <c r="J149" s="8">
        <v>952</v>
      </c>
      <c r="K149" s="8">
        <v>851</v>
      </c>
      <c r="L149" s="8">
        <v>655</v>
      </c>
      <c r="M149" s="8">
        <v>883</v>
      </c>
      <c r="N149" s="8">
        <v>1112</v>
      </c>
      <c r="O149" s="8">
        <v>923</v>
      </c>
      <c r="P149" s="8">
        <v>1329</v>
      </c>
      <c r="Q149" s="8">
        <v>1055</v>
      </c>
      <c r="R149" s="8">
        <v>867</v>
      </c>
      <c r="S149" s="8">
        <v>1111</v>
      </c>
      <c r="T149" s="8">
        <v>397</v>
      </c>
      <c r="U149" s="8">
        <v>792</v>
      </c>
      <c r="V149" s="8">
        <v>693</v>
      </c>
      <c r="W149" s="8">
        <v>682</v>
      </c>
      <c r="X149" s="8">
        <v>1202</v>
      </c>
      <c r="Y149" s="8">
        <v>535</v>
      </c>
      <c r="Z149" s="8">
        <v>959</v>
      </c>
      <c r="AA149" s="8">
        <v>228</v>
      </c>
      <c r="AB149" s="8">
        <v>821</v>
      </c>
      <c r="AC149" s="8">
        <v>1440</v>
      </c>
      <c r="AD149" s="8">
        <v>538</v>
      </c>
      <c r="AE149" s="8">
        <v>995</v>
      </c>
      <c r="AF149" s="8">
        <v>302</v>
      </c>
      <c r="AG149" s="8">
        <v>532</v>
      </c>
      <c r="AH149" s="8">
        <v>475</v>
      </c>
      <c r="AI149" s="8">
        <v>712</v>
      </c>
      <c r="AJ149" s="8">
        <v>957</v>
      </c>
      <c r="AK149" s="8">
        <v>363</v>
      </c>
      <c r="AL149" s="8">
        <v>815</v>
      </c>
      <c r="AM149" s="8">
        <v>851</v>
      </c>
      <c r="AN149" s="8">
        <v>1091</v>
      </c>
      <c r="AO149" s="8">
        <v>948</v>
      </c>
      <c r="AP149" s="8">
        <v>828</v>
      </c>
      <c r="AQ149" s="8">
        <v>869</v>
      </c>
      <c r="AR149" s="8">
        <v>597</v>
      </c>
      <c r="AS149" s="8">
        <v>747</v>
      </c>
      <c r="AT149" s="8">
        <v>1066</v>
      </c>
      <c r="AU149" s="8">
        <v>790</v>
      </c>
      <c r="AV149" s="8">
        <v>535</v>
      </c>
      <c r="AW149" s="8">
        <v>1064</v>
      </c>
      <c r="AX149" s="8">
        <v>730</v>
      </c>
      <c r="AY149" s="8">
        <v>604</v>
      </c>
      <c r="AZ149" s="8">
        <v>597</v>
      </c>
      <c r="BA149" s="8">
        <v>218</v>
      </c>
      <c r="BB149" s="8">
        <v>382</v>
      </c>
      <c r="BC149" s="8">
        <v>681</v>
      </c>
      <c r="BD149" s="8">
        <v>776</v>
      </c>
      <c r="BE149" s="8">
        <v>950</v>
      </c>
      <c r="BF149" s="8">
        <v>1057</v>
      </c>
      <c r="BG149" s="8">
        <v>1205</v>
      </c>
      <c r="BH149" s="8">
        <v>644</v>
      </c>
      <c r="BI149" s="8">
        <v>686</v>
      </c>
      <c r="BJ149" s="8">
        <v>1047</v>
      </c>
      <c r="BK149" s="8">
        <v>746</v>
      </c>
      <c r="BL149" s="8">
        <v>651</v>
      </c>
      <c r="BM149" s="8">
        <v>804</v>
      </c>
      <c r="BN149" s="8">
        <v>756</v>
      </c>
      <c r="BO149" s="8">
        <v>907</v>
      </c>
      <c r="BP149" s="8">
        <v>531</v>
      </c>
      <c r="BQ149" s="8">
        <v>840</v>
      </c>
      <c r="BR149" s="8">
        <v>530</v>
      </c>
      <c r="BS149" s="8">
        <v>887</v>
      </c>
      <c r="BT149" s="8">
        <v>1000</v>
      </c>
      <c r="BU149" s="8">
        <v>674</v>
      </c>
      <c r="BV149" s="8">
        <v>621</v>
      </c>
      <c r="BW149" s="8">
        <v>440</v>
      </c>
      <c r="BX149" s="8">
        <v>305</v>
      </c>
      <c r="BY149" s="8">
        <v>534</v>
      </c>
      <c r="BZ149" s="8">
        <v>613</v>
      </c>
      <c r="CA149" s="8">
        <v>725</v>
      </c>
      <c r="CB149" s="8">
        <v>467</v>
      </c>
      <c r="CC149" s="8">
        <v>549</v>
      </c>
      <c r="CD149" s="8">
        <v>673</v>
      </c>
      <c r="CE149" s="8">
        <v>705</v>
      </c>
      <c r="CF149" s="8">
        <v>858</v>
      </c>
      <c r="CG149" s="8">
        <v>941</v>
      </c>
      <c r="CH149" s="8">
        <v>1047</v>
      </c>
      <c r="CJ149" s="9"/>
      <c r="CK149" s="9"/>
      <c r="CL149" s="9"/>
      <c r="CM149" s="9"/>
      <c r="CN149" s="9"/>
      <c r="CO149" s="9"/>
      <c r="CP149" s="9"/>
      <c r="CQ149" s="9"/>
      <c r="CR149" s="9"/>
      <c r="CS149" s="9"/>
      <c r="CT149" s="9"/>
      <c r="CU149" s="9"/>
      <c r="CV149" s="9"/>
      <c r="CW149" s="9"/>
      <c r="CX149" s="9"/>
      <c r="CY149" s="9"/>
      <c r="CZ149" s="9"/>
      <c r="DA149" s="9"/>
      <c r="DB149" s="9"/>
      <c r="DC149" s="9"/>
      <c r="DD149" s="9"/>
      <c r="DE149" s="9"/>
      <c r="DF149" s="9"/>
      <c r="DG149" s="9"/>
      <c r="DH149" s="9"/>
      <c r="DI149" s="9"/>
      <c r="DJ149" s="9"/>
      <c r="DK149" s="9"/>
      <c r="DL149" s="9"/>
      <c r="DM149" s="9"/>
      <c r="DN149" s="9"/>
      <c r="DO149" s="9"/>
      <c r="DP149" s="9"/>
      <c r="DQ149" s="9"/>
      <c r="DR149" s="9"/>
      <c r="DS149" s="9"/>
      <c r="DT149" s="9"/>
      <c r="DU149" s="9"/>
      <c r="DV149" s="9"/>
      <c r="DW149" s="9"/>
      <c r="DX149" s="9"/>
      <c r="DY149" s="9"/>
      <c r="DZ149" s="9"/>
      <c r="EA149" s="9"/>
      <c r="EB149" s="9"/>
      <c r="EC149" s="9"/>
      <c r="ED149" s="9"/>
      <c r="EE149" s="9"/>
      <c r="EF149" s="9"/>
      <c r="EG149" s="9"/>
      <c r="EH149" s="9"/>
      <c r="EI149" s="9"/>
      <c r="EJ149" s="9"/>
      <c r="EK149" s="9"/>
      <c r="EL149" s="9"/>
      <c r="EM149" s="9"/>
      <c r="EN149" s="9"/>
      <c r="EO149" s="9"/>
      <c r="EP149" s="9"/>
      <c r="EQ149" s="9"/>
      <c r="ER149" s="9"/>
      <c r="ES149" s="9"/>
      <c r="ET149" s="9"/>
      <c r="EU149" s="9"/>
      <c r="EV149" s="9"/>
      <c r="EW149" s="9"/>
      <c r="EX149" s="9"/>
      <c r="EY149" s="9"/>
      <c r="EZ149" s="9"/>
      <c r="FA149" s="9"/>
      <c r="FB149" s="9"/>
      <c r="FC149" s="9"/>
      <c r="FD149" s="9"/>
      <c r="FE149" s="9"/>
      <c r="FF149" s="9"/>
      <c r="FG149" s="9"/>
      <c r="FH149" s="9"/>
      <c r="FI149" s="9"/>
    </row>
    <row r="150" spans="1:165" x14ac:dyDescent="0.2">
      <c r="A150" s="1" t="s">
        <v>997</v>
      </c>
      <c r="B150" s="1" t="s">
        <v>998</v>
      </c>
      <c r="C150" s="1" t="s">
        <v>632</v>
      </c>
      <c r="D150" s="1" t="str">
        <f>HYPERLINK("http://eros.fiehnlab.ucdavis.edu:8080/binbase-compound/bin/show/270929?db=rtx5","270929")</f>
        <v>270929</v>
      </c>
      <c r="E150" s="1" t="s">
        <v>999</v>
      </c>
      <c r="F150" s="1" t="s">
        <v>184</v>
      </c>
      <c r="G150" s="1" t="s">
        <v>184</v>
      </c>
      <c r="H150" s="1"/>
      <c r="I150" s="8">
        <v>1104</v>
      </c>
      <c r="J150" s="8">
        <v>1394</v>
      </c>
      <c r="K150" s="8">
        <v>1147</v>
      </c>
      <c r="L150" s="8">
        <v>1147</v>
      </c>
      <c r="M150" s="8">
        <v>1261</v>
      </c>
      <c r="N150" s="8">
        <v>1266</v>
      </c>
      <c r="O150" s="8">
        <v>603</v>
      </c>
      <c r="P150" s="8">
        <v>737</v>
      </c>
      <c r="Q150" s="8">
        <v>930</v>
      </c>
      <c r="R150" s="8">
        <v>694</v>
      </c>
      <c r="S150" s="8">
        <v>871</v>
      </c>
      <c r="T150" s="8">
        <v>841</v>
      </c>
      <c r="U150" s="8">
        <v>498</v>
      </c>
      <c r="V150" s="8">
        <v>575</v>
      </c>
      <c r="W150" s="8">
        <v>708</v>
      </c>
      <c r="X150" s="8">
        <v>723</v>
      </c>
      <c r="Y150" s="8">
        <v>688</v>
      </c>
      <c r="Z150" s="8">
        <v>736</v>
      </c>
      <c r="AA150" s="8">
        <v>576</v>
      </c>
      <c r="AB150" s="8">
        <v>798</v>
      </c>
      <c r="AC150" s="8">
        <v>725</v>
      </c>
      <c r="AD150" s="8">
        <v>658</v>
      </c>
      <c r="AE150" s="8">
        <v>998</v>
      </c>
      <c r="AF150" s="8">
        <v>790</v>
      </c>
      <c r="AG150" s="8">
        <v>576</v>
      </c>
      <c r="AH150" s="8">
        <v>675</v>
      </c>
      <c r="AI150" s="8">
        <v>714</v>
      </c>
      <c r="AJ150" s="8">
        <v>684</v>
      </c>
      <c r="AK150" s="8">
        <v>536</v>
      </c>
      <c r="AL150" s="8">
        <v>888</v>
      </c>
      <c r="AM150" s="8">
        <v>869</v>
      </c>
      <c r="AN150" s="8">
        <v>940</v>
      </c>
      <c r="AO150" s="8">
        <v>606</v>
      </c>
      <c r="AP150" s="8">
        <v>1027</v>
      </c>
      <c r="AQ150" s="8">
        <v>851</v>
      </c>
      <c r="AR150" s="8">
        <v>651</v>
      </c>
      <c r="AS150" s="8">
        <v>784</v>
      </c>
      <c r="AT150" s="8">
        <v>804</v>
      </c>
      <c r="AU150" s="8">
        <v>761</v>
      </c>
      <c r="AV150" s="8">
        <v>628</v>
      </c>
      <c r="AW150" s="8">
        <v>755</v>
      </c>
      <c r="AX150" s="8">
        <v>687</v>
      </c>
      <c r="AY150" s="8">
        <v>707</v>
      </c>
      <c r="AZ150" s="8">
        <v>1061</v>
      </c>
      <c r="BA150" s="8">
        <v>704</v>
      </c>
      <c r="BB150" s="8">
        <v>1131</v>
      </c>
      <c r="BC150" s="8">
        <v>808</v>
      </c>
      <c r="BD150" s="8">
        <v>648</v>
      </c>
      <c r="BE150" s="8">
        <v>878</v>
      </c>
      <c r="BF150" s="8">
        <v>723</v>
      </c>
      <c r="BG150" s="8">
        <v>815</v>
      </c>
      <c r="BH150" s="8">
        <v>657</v>
      </c>
      <c r="BI150" s="8">
        <v>747</v>
      </c>
      <c r="BJ150" s="8">
        <v>725</v>
      </c>
      <c r="BK150" s="8">
        <v>881</v>
      </c>
      <c r="BL150" s="8">
        <v>939</v>
      </c>
      <c r="BM150" s="8">
        <v>808</v>
      </c>
      <c r="BN150" s="8">
        <v>694</v>
      </c>
      <c r="BO150" s="8">
        <v>830</v>
      </c>
      <c r="BP150" s="8">
        <v>726</v>
      </c>
      <c r="BQ150" s="8">
        <v>598</v>
      </c>
      <c r="BR150" s="8">
        <v>741</v>
      </c>
      <c r="BS150" s="8">
        <v>622</v>
      </c>
      <c r="BT150" s="8">
        <v>804</v>
      </c>
      <c r="BU150" s="8">
        <v>680</v>
      </c>
      <c r="BV150" s="8">
        <v>847</v>
      </c>
      <c r="BW150" s="8">
        <v>594</v>
      </c>
      <c r="BX150" s="8">
        <v>582</v>
      </c>
      <c r="BY150" s="8">
        <v>670</v>
      </c>
      <c r="BZ150" s="8">
        <v>772</v>
      </c>
      <c r="CA150" s="8">
        <v>662</v>
      </c>
      <c r="CB150" s="8">
        <v>694</v>
      </c>
      <c r="CC150" s="8">
        <v>662</v>
      </c>
      <c r="CD150" s="8">
        <v>669</v>
      </c>
      <c r="CE150" s="8">
        <v>647</v>
      </c>
      <c r="CF150" s="8">
        <v>594</v>
      </c>
      <c r="CG150" s="8">
        <v>705</v>
      </c>
      <c r="CH150" s="8">
        <v>746</v>
      </c>
      <c r="CJ150" s="9"/>
      <c r="CK150" s="9"/>
      <c r="CL150" s="9"/>
      <c r="CM150" s="9"/>
      <c r="CN150" s="9"/>
      <c r="CO150" s="9"/>
      <c r="CP150" s="9"/>
      <c r="CQ150" s="9"/>
      <c r="CR150" s="9"/>
      <c r="CS150" s="9"/>
      <c r="CT150" s="9"/>
      <c r="CU150" s="9"/>
      <c r="CV150" s="9"/>
      <c r="CW150" s="9"/>
      <c r="CX150" s="9"/>
      <c r="CY150" s="9"/>
      <c r="CZ150" s="9"/>
      <c r="DA150" s="9"/>
      <c r="DB150" s="9"/>
      <c r="DC150" s="9"/>
      <c r="DD150" s="9"/>
      <c r="DE150" s="9"/>
      <c r="DF150" s="9"/>
      <c r="DG150" s="9"/>
      <c r="DH150" s="9"/>
      <c r="DI150" s="9"/>
      <c r="DJ150" s="9"/>
      <c r="DK150" s="9"/>
      <c r="DL150" s="9"/>
      <c r="DM150" s="9"/>
      <c r="DN150" s="9"/>
      <c r="DO150" s="9"/>
      <c r="DP150" s="9"/>
      <c r="DQ150" s="9"/>
      <c r="DR150" s="9"/>
      <c r="DS150" s="9"/>
      <c r="DT150" s="9"/>
      <c r="DU150" s="9"/>
      <c r="DV150" s="9"/>
      <c r="DW150" s="9"/>
      <c r="DX150" s="9"/>
      <c r="DY150" s="9"/>
      <c r="DZ150" s="9"/>
      <c r="EA150" s="9"/>
      <c r="EB150" s="9"/>
      <c r="EC150" s="9"/>
      <c r="ED150" s="9"/>
      <c r="EE150" s="9"/>
      <c r="EF150" s="9"/>
      <c r="EG150" s="9"/>
      <c r="EH150" s="9"/>
      <c r="EI150" s="9"/>
      <c r="EJ150" s="9"/>
      <c r="EK150" s="9"/>
      <c r="EL150" s="9"/>
      <c r="EM150" s="9"/>
      <c r="EN150" s="9"/>
      <c r="EO150" s="9"/>
      <c r="EP150" s="9"/>
      <c r="EQ150" s="9"/>
      <c r="ER150" s="9"/>
      <c r="ES150" s="9"/>
      <c r="ET150" s="9"/>
      <c r="EU150" s="9"/>
      <c r="EV150" s="9"/>
      <c r="EW150" s="9"/>
      <c r="EX150" s="9"/>
      <c r="EY150" s="9"/>
      <c r="EZ150" s="9"/>
      <c r="FA150" s="9"/>
      <c r="FB150" s="9"/>
      <c r="FC150" s="9"/>
      <c r="FD150" s="9"/>
      <c r="FE150" s="9"/>
      <c r="FF150" s="9"/>
      <c r="FG150" s="9"/>
      <c r="FH150" s="9"/>
      <c r="FI150" s="9"/>
    </row>
    <row r="151" spans="1:165" x14ac:dyDescent="0.2">
      <c r="A151" s="1" t="s">
        <v>1232</v>
      </c>
      <c r="B151" s="1" t="s">
        <v>1233</v>
      </c>
      <c r="C151" s="1" t="s">
        <v>865</v>
      </c>
      <c r="D151" s="1" t="str">
        <f>HYPERLINK("http://eros.fiehnlab.ucdavis.edu:8080/binbase-compound/bin/show/222050?db=rtx5","222050")</f>
        <v>222050</v>
      </c>
      <c r="E151" s="1" t="s">
        <v>1234</v>
      </c>
      <c r="F151" s="1" t="s">
        <v>184</v>
      </c>
      <c r="G151" s="1" t="s">
        <v>184</v>
      </c>
      <c r="H151" s="1"/>
      <c r="I151" s="8">
        <v>557</v>
      </c>
      <c r="J151" s="8">
        <v>2035</v>
      </c>
      <c r="K151" s="8">
        <v>663</v>
      </c>
      <c r="L151" s="8">
        <v>883</v>
      </c>
      <c r="M151" s="8">
        <v>820</v>
      </c>
      <c r="N151" s="8">
        <v>1247</v>
      </c>
      <c r="O151" s="8">
        <v>526</v>
      </c>
      <c r="P151" s="8">
        <v>520</v>
      </c>
      <c r="Q151" s="8">
        <v>1213</v>
      </c>
      <c r="R151" s="8">
        <v>1145</v>
      </c>
      <c r="S151" s="8">
        <v>1353</v>
      </c>
      <c r="T151" s="8">
        <v>754</v>
      </c>
      <c r="U151" s="8">
        <v>923</v>
      </c>
      <c r="V151" s="8">
        <v>735</v>
      </c>
      <c r="W151" s="8">
        <v>851</v>
      </c>
      <c r="X151" s="8">
        <v>343</v>
      </c>
      <c r="Y151" s="8">
        <v>439</v>
      </c>
      <c r="Z151" s="8">
        <v>347</v>
      </c>
      <c r="AA151" s="8">
        <v>306</v>
      </c>
      <c r="AB151" s="8">
        <v>418</v>
      </c>
      <c r="AC151" s="8">
        <v>309</v>
      </c>
      <c r="AD151" s="8">
        <v>894</v>
      </c>
      <c r="AE151" s="8">
        <v>606</v>
      </c>
      <c r="AF151" s="8">
        <v>1421</v>
      </c>
      <c r="AG151" s="8">
        <v>533</v>
      </c>
      <c r="AH151" s="8">
        <v>533</v>
      </c>
      <c r="AI151" s="8">
        <v>1600</v>
      </c>
      <c r="AJ151" s="8">
        <v>373</v>
      </c>
      <c r="AK151" s="8">
        <v>350</v>
      </c>
      <c r="AL151" s="8">
        <v>911</v>
      </c>
      <c r="AM151" s="8">
        <v>1404</v>
      </c>
      <c r="AN151" s="8">
        <v>720</v>
      </c>
      <c r="AO151" s="8">
        <v>1497</v>
      </c>
      <c r="AP151" s="8">
        <v>1786</v>
      </c>
      <c r="AQ151" s="8">
        <v>440</v>
      </c>
      <c r="AR151" s="8">
        <v>585</v>
      </c>
      <c r="AS151" s="8">
        <v>832</v>
      </c>
      <c r="AT151" s="8">
        <v>1069</v>
      </c>
      <c r="AU151" s="8">
        <v>2318</v>
      </c>
      <c r="AV151" s="8">
        <v>344</v>
      </c>
      <c r="AW151" s="8">
        <v>479</v>
      </c>
      <c r="AX151" s="8">
        <v>1770</v>
      </c>
      <c r="AY151" s="8">
        <v>703</v>
      </c>
      <c r="AZ151" s="8">
        <v>1479</v>
      </c>
      <c r="BA151" s="8">
        <v>1381</v>
      </c>
      <c r="BB151" s="8">
        <v>1992</v>
      </c>
      <c r="BC151" s="8">
        <v>831</v>
      </c>
      <c r="BD151" s="8">
        <v>580</v>
      </c>
      <c r="BE151" s="8">
        <v>682</v>
      </c>
      <c r="BF151" s="8">
        <v>466</v>
      </c>
      <c r="BG151" s="8">
        <v>426</v>
      </c>
      <c r="BH151" s="8">
        <v>715</v>
      </c>
      <c r="BI151" s="8">
        <v>1854</v>
      </c>
      <c r="BJ151" s="8">
        <v>539</v>
      </c>
      <c r="BK151" s="8">
        <v>596</v>
      </c>
      <c r="BL151" s="8">
        <v>1221</v>
      </c>
      <c r="BM151" s="8">
        <v>1043</v>
      </c>
      <c r="BN151" s="8">
        <v>732</v>
      </c>
      <c r="BO151" s="8">
        <v>572</v>
      </c>
      <c r="BP151" s="8">
        <v>854</v>
      </c>
      <c r="BQ151" s="8">
        <v>1310</v>
      </c>
      <c r="BR151" s="8">
        <v>278</v>
      </c>
      <c r="BS151" s="8">
        <v>1364</v>
      </c>
      <c r="BT151" s="8">
        <v>1736</v>
      </c>
      <c r="BU151" s="8">
        <v>692</v>
      </c>
      <c r="BV151" s="8">
        <v>1865</v>
      </c>
      <c r="BW151" s="8">
        <v>551</v>
      </c>
      <c r="BX151" s="8">
        <v>588</v>
      </c>
      <c r="BY151" s="8">
        <v>595</v>
      </c>
      <c r="BZ151" s="8">
        <v>563</v>
      </c>
      <c r="CA151" s="8">
        <v>1523</v>
      </c>
      <c r="CB151" s="8">
        <v>323</v>
      </c>
      <c r="CC151" s="8">
        <v>543</v>
      </c>
      <c r="CD151" s="8">
        <v>396</v>
      </c>
      <c r="CE151" s="8">
        <v>919</v>
      </c>
      <c r="CF151" s="8">
        <v>684</v>
      </c>
      <c r="CG151" s="8">
        <v>493</v>
      </c>
      <c r="CH151" s="8">
        <v>1060</v>
      </c>
      <c r="CJ151" s="9"/>
      <c r="CK151" s="9"/>
      <c r="CL151" s="9"/>
      <c r="CM151" s="9"/>
      <c r="CN151" s="9"/>
      <c r="CO151" s="9"/>
      <c r="CP151" s="9"/>
      <c r="CQ151" s="9"/>
      <c r="CR151" s="9"/>
      <c r="CS151" s="9"/>
      <c r="CT151" s="9"/>
      <c r="CU151" s="9"/>
      <c r="CV151" s="9"/>
      <c r="CW151" s="9"/>
      <c r="CX151" s="9"/>
      <c r="CY151" s="9"/>
      <c r="CZ151" s="9"/>
      <c r="DA151" s="9"/>
      <c r="DB151" s="9"/>
      <c r="DC151" s="9"/>
      <c r="DD151" s="9"/>
      <c r="DE151" s="9"/>
      <c r="DF151" s="9"/>
      <c r="DG151" s="9"/>
      <c r="DH151" s="9"/>
      <c r="DI151" s="9"/>
      <c r="DJ151" s="9"/>
      <c r="DK151" s="9"/>
      <c r="DL151" s="9"/>
      <c r="DM151" s="9"/>
      <c r="DN151" s="9"/>
      <c r="DO151" s="9"/>
      <c r="DP151" s="9"/>
      <c r="DQ151" s="9"/>
      <c r="DR151" s="9"/>
      <c r="DS151" s="9"/>
      <c r="DT151" s="9"/>
      <c r="DU151" s="9"/>
      <c r="DV151" s="9"/>
      <c r="DW151" s="9"/>
      <c r="DX151" s="9"/>
      <c r="DY151" s="9"/>
      <c r="DZ151" s="9"/>
      <c r="EA151" s="9"/>
      <c r="EB151" s="9"/>
      <c r="EC151" s="9"/>
      <c r="ED151" s="9"/>
      <c r="EE151" s="9"/>
      <c r="EF151" s="9"/>
      <c r="EG151" s="9"/>
      <c r="EH151" s="9"/>
      <c r="EI151" s="9"/>
      <c r="EJ151" s="9"/>
      <c r="EK151" s="9"/>
      <c r="EL151" s="9"/>
      <c r="EM151" s="9"/>
      <c r="EN151" s="9"/>
      <c r="EO151" s="9"/>
      <c r="EP151" s="9"/>
      <c r="EQ151" s="9"/>
      <c r="ER151" s="9"/>
      <c r="ES151" s="9"/>
      <c r="ET151" s="9"/>
      <c r="EU151" s="9"/>
      <c r="EV151" s="9"/>
      <c r="EW151" s="9"/>
      <c r="EX151" s="9"/>
      <c r="EY151" s="9"/>
      <c r="EZ151" s="9"/>
      <c r="FA151" s="9"/>
      <c r="FB151" s="9"/>
      <c r="FC151" s="9"/>
      <c r="FD151" s="9"/>
      <c r="FE151" s="9"/>
      <c r="FF151" s="9"/>
      <c r="FG151" s="9"/>
      <c r="FH151" s="9"/>
      <c r="FI151" s="9"/>
    </row>
    <row r="152" spans="1:165" x14ac:dyDescent="0.2">
      <c r="A152" s="1" t="s">
        <v>1087</v>
      </c>
      <c r="B152" s="1" t="s">
        <v>1088</v>
      </c>
      <c r="C152" s="1" t="s">
        <v>523</v>
      </c>
      <c r="D152" s="1" t="str">
        <f>HYPERLINK("http://eros.fiehnlab.ucdavis.edu:8080/binbase-compound/bin/show/234677?db=rtx5","234677")</f>
        <v>234677</v>
      </c>
      <c r="E152" s="1" t="s">
        <v>1089</v>
      </c>
      <c r="F152" s="1" t="s">
        <v>184</v>
      </c>
      <c r="G152" s="1" t="s">
        <v>184</v>
      </c>
      <c r="H152" s="1"/>
      <c r="I152" s="8">
        <v>268</v>
      </c>
      <c r="J152" s="8">
        <v>710</v>
      </c>
      <c r="K152" s="8">
        <v>783</v>
      </c>
      <c r="L152" s="8">
        <v>383</v>
      </c>
      <c r="M152" s="8">
        <v>2119</v>
      </c>
      <c r="N152" s="8">
        <v>4879</v>
      </c>
      <c r="O152" s="8">
        <v>471</v>
      </c>
      <c r="P152" s="8">
        <v>311</v>
      </c>
      <c r="Q152" s="8">
        <v>562</v>
      </c>
      <c r="R152" s="8">
        <v>684</v>
      </c>
      <c r="S152" s="8">
        <v>543</v>
      </c>
      <c r="T152" s="8">
        <v>597</v>
      </c>
      <c r="U152" s="8">
        <v>254</v>
      </c>
      <c r="V152" s="8">
        <v>274</v>
      </c>
      <c r="W152" s="8">
        <v>619</v>
      </c>
      <c r="X152" s="8">
        <v>611</v>
      </c>
      <c r="Y152" s="8">
        <v>411</v>
      </c>
      <c r="Z152" s="8">
        <v>1082</v>
      </c>
      <c r="AA152" s="8">
        <v>248</v>
      </c>
      <c r="AB152" s="8">
        <v>506</v>
      </c>
      <c r="AC152" s="8">
        <v>421</v>
      </c>
      <c r="AD152" s="8">
        <v>358</v>
      </c>
      <c r="AE152" s="8">
        <v>619</v>
      </c>
      <c r="AF152" s="8">
        <v>335</v>
      </c>
      <c r="AG152" s="8">
        <v>347</v>
      </c>
      <c r="AH152" s="8">
        <v>319</v>
      </c>
      <c r="AI152" s="8">
        <v>254</v>
      </c>
      <c r="AJ152" s="8">
        <v>550</v>
      </c>
      <c r="AK152" s="8">
        <v>358</v>
      </c>
      <c r="AL152" s="8">
        <v>1415</v>
      </c>
      <c r="AM152" s="8">
        <v>314</v>
      </c>
      <c r="AN152" s="8">
        <v>221</v>
      </c>
      <c r="AO152" s="8">
        <v>350</v>
      </c>
      <c r="AP152" s="8">
        <v>272</v>
      </c>
      <c r="AQ152" s="8">
        <v>390</v>
      </c>
      <c r="AR152" s="8">
        <v>599</v>
      </c>
      <c r="AS152" s="8">
        <v>271</v>
      </c>
      <c r="AT152" s="8">
        <v>331</v>
      </c>
      <c r="AU152" s="8">
        <v>350</v>
      </c>
      <c r="AV152" s="8">
        <v>314</v>
      </c>
      <c r="AW152" s="8">
        <v>836</v>
      </c>
      <c r="AX152" s="8">
        <v>441</v>
      </c>
      <c r="AY152" s="8">
        <v>350</v>
      </c>
      <c r="AZ152" s="8">
        <v>452</v>
      </c>
      <c r="BA152" s="8">
        <v>370</v>
      </c>
      <c r="BB152" s="8">
        <v>421</v>
      </c>
      <c r="BC152" s="8">
        <v>397</v>
      </c>
      <c r="BD152" s="8">
        <v>800</v>
      </c>
      <c r="BE152" s="8">
        <v>294</v>
      </c>
      <c r="BF152" s="8">
        <v>312</v>
      </c>
      <c r="BG152" s="8">
        <v>354</v>
      </c>
      <c r="BH152" s="8">
        <v>251</v>
      </c>
      <c r="BI152" s="8">
        <v>442</v>
      </c>
      <c r="BJ152" s="8">
        <v>564</v>
      </c>
      <c r="BK152" s="8">
        <v>341</v>
      </c>
      <c r="BL152" s="8">
        <v>343</v>
      </c>
      <c r="BM152" s="8">
        <v>346</v>
      </c>
      <c r="BN152" s="8">
        <v>623</v>
      </c>
      <c r="BO152" s="8">
        <v>543</v>
      </c>
      <c r="BP152" s="8">
        <v>557</v>
      </c>
      <c r="BQ152" s="8">
        <v>556</v>
      </c>
      <c r="BR152" s="8">
        <v>275</v>
      </c>
      <c r="BS152" s="8">
        <v>326</v>
      </c>
      <c r="BT152" s="8">
        <v>413</v>
      </c>
      <c r="BU152" s="8">
        <v>390</v>
      </c>
      <c r="BV152" s="8">
        <v>965</v>
      </c>
      <c r="BW152" s="8">
        <v>264</v>
      </c>
      <c r="BX152" s="8">
        <v>348</v>
      </c>
      <c r="BY152" s="8">
        <v>315</v>
      </c>
      <c r="BZ152" s="8">
        <v>485</v>
      </c>
      <c r="CA152" s="8">
        <v>657</v>
      </c>
      <c r="CB152" s="8">
        <v>806</v>
      </c>
      <c r="CC152" s="8">
        <v>202</v>
      </c>
      <c r="CD152" s="8">
        <v>311</v>
      </c>
      <c r="CE152" s="8">
        <v>182</v>
      </c>
      <c r="CF152" s="8">
        <v>260</v>
      </c>
      <c r="CG152" s="8">
        <v>468</v>
      </c>
      <c r="CH152" s="8">
        <v>464</v>
      </c>
      <c r="CJ152" s="9"/>
      <c r="CK152" s="9"/>
      <c r="CL152" s="9"/>
      <c r="CM152" s="9"/>
      <c r="CN152" s="9"/>
      <c r="CO152" s="9"/>
      <c r="CP152" s="9"/>
      <c r="CQ152" s="9"/>
      <c r="CR152" s="9"/>
      <c r="CS152" s="9"/>
      <c r="CT152" s="9"/>
      <c r="CU152" s="9"/>
      <c r="CV152" s="9"/>
      <c r="CW152" s="9"/>
      <c r="CX152" s="9"/>
      <c r="CY152" s="9"/>
      <c r="CZ152" s="9"/>
      <c r="DA152" s="9"/>
      <c r="DB152" s="9"/>
      <c r="DC152" s="9"/>
      <c r="DD152" s="9"/>
      <c r="DE152" s="9"/>
      <c r="DF152" s="9"/>
      <c r="DG152" s="9"/>
      <c r="DH152" s="9"/>
      <c r="DI152" s="9"/>
      <c r="DJ152" s="9"/>
      <c r="DK152" s="9"/>
      <c r="DL152" s="9"/>
      <c r="DM152" s="9"/>
      <c r="DN152" s="9"/>
      <c r="DO152" s="9"/>
      <c r="DP152" s="9"/>
      <c r="DQ152" s="9"/>
      <c r="DR152" s="9"/>
      <c r="DS152" s="9"/>
      <c r="DT152" s="9"/>
      <c r="DU152" s="9"/>
      <c r="DV152" s="9"/>
      <c r="DW152" s="9"/>
      <c r="DX152" s="9"/>
      <c r="DY152" s="9"/>
      <c r="DZ152" s="9"/>
      <c r="EA152" s="9"/>
      <c r="EB152" s="9"/>
      <c r="EC152" s="9"/>
      <c r="ED152" s="9"/>
      <c r="EE152" s="9"/>
      <c r="EF152" s="9"/>
      <c r="EG152" s="9"/>
      <c r="EH152" s="9"/>
      <c r="EI152" s="9"/>
      <c r="EJ152" s="9"/>
      <c r="EK152" s="9"/>
      <c r="EL152" s="9"/>
      <c r="EM152" s="9"/>
      <c r="EN152" s="9"/>
      <c r="EO152" s="9"/>
      <c r="EP152" s="9"/>
      <c r="EQ152" s="9"/>
      <c r="ER152" s="9"/>
      <c r="ES152" s="9"/>
      <c r="ET152" s="9"/>
      <c r="EU152" s="9"/>
      <c r="EV152" s="9"/>
      <c r="EW152" s="9"/>
      <c r="EX152" s="9"/>
      <c r="EY152" s="9"/>
      <c r="EZ152" s="9"/>
      <c r="FA152" s="9"/>
      <c r="FB152" s="9"/>
      <c r="FC152" s="9"/>
      <c r="FD152" s="9"/>
      <c r="FE152" s="9"/>
      <c r="FF152" s="9"/>
      <c r="FG152" s="9"/>
      <c r="FH152" s="9"/>
      <c r="FI152" s="9"/>
    </row>
    <row r="153" spans="1:165" x14ac:dyDescent="0.2">
      <c r="A153" s="1" t="s">
        <v>1335</v>
      </c>
      <c r="B153" s="1" t="s">
        <v>1336</v>
      </c>
      <c r="C153" s="1" t="s">
        <v>1337</v>
      </c>
      <c r="D153" s="1" t="str">
        <f>HYPERLINK("http://eros.fiehnlab.ucdavis.edu:8080/binbase-compound/bin/show/204425?db=rtx5","204425")</f>
        <v>204425</v>
      </c>
      <c r="E153" s="1" t="s">
        <v>1338</v>
      </c>
      <c r="F153" s="1" t="s">
        <v>184</v>
      </c>
      <c r="G153" s="1" t="s">
        <v>184</v>
      </c>
      <c r="H153" s="1"/>
      <c r="I153" s="8">
        <v>325</v>
      </c>
      <c r="J153" s="8">
        <v>237</v>
      </c>
      <c r="K153" s="8">
        <v>188</v>
      </c>
      <c r="L153" s="8">
        <v>166</v>
      </c>
      <c r="M153" s="8">
        <v>179</v>
      </c>
      <c r="N153" s="8">
        <v>656</v>
      </c>
      <c r="O153" s="8">
        <v>305</v>
      </c>
      <c r="P153" s="8">
        <v>439</v>
      </c>
      <c r="Q153" s="8">
        <v>214</v>
      </c>
      <c r="R153" s="8">
        <v>236</v>
      </c>
      <c r="S153" s="8">
        <v>175</v>
      </c>
      <c r="T153" s="8">
        <v>280</v>
      </c>
      <c r="U153" s="8">
        <v>239</v>
      </c>
      <c r="V153" s="8">
        <v>175</v>
      </c>
      <c r="W153" s="8">
        <v>334</v>
      </c>
      <c r="X153" s="8">
        <v>388</v>
      </c>
      <c r="Y153" s="8">
        <v>161</v>
      </c>
      <c r="Z153" s="8">
        <v>151</v>
      </c>
      <c r="AA153" s="8">
        <v>135</v>
      </c>
      <c r="AB153" s="8">
        <v>119</v>
      </c>
      <c r="AC153" s="8">
        <v>515</v>
      </c>
      <c r="AD153" s="8">
        <v>215</v>
      </c>
      <c r="AE153" s="8">
        <v>382</v>
      </c>
      <c r="AF153" s="8">
        <v>138</v>
      </c>
      <c r="AG153" s="8">
        <v>115</v>
      </c>
      <c r="AH153" s="8">
        <v>294</v>
      </c>
      <c r="AI153" s="8">
        <v>168</v>
      </c>
      <c r="AJ153" s="8">
        <v>437</v>
      </c>
      <c r="AK153" s="8">
        <v>118</v>
      </c>
      <c r="AL153" s="8">
        <v>233</v>
      </c>
      <c r="AM153" s="8">
        <v>404</v>
      </c>
      <c r="AN153" s="8">
        <v>244</v>
      </c>
      <c r="AO153" s="8">
        <v>386</v>
      </c>
      <c r="AP153" s="8">
        <v>383</v>
      </c>
      <c r="AQ153" s="8">
        <v>223</v>
      </c>
      <c r="AR153" s="8">
        <v>244</v>
      </c>
      <c r="AS153" s="8">
        <v>298</v>
      </c>
      <c r="AT153" s="8">
        <v>164</v>
      </c>
      <c r="AU153" s="8">
        <v>163</v>
      </c>
      <c r="AV153" s="8">
        <v>336</v>
      </c>
      <c r="AW153" s="8">
        <v>478</v>
      </c>
      <c r="AX153" s="8">
        <v>275</v>
      </c>
      <c r="AY153" s="8">
        <v>511</v>
      </c>
      <c r="AZ153" s="8">
        <v>270</v>
      </c>
      <c r="BA153" s="8">
        <v>260</v>
      </c>
      <c r="BB153" s="8">
        <v>278</v>
      </c>
      <c r="BC153" s="8">
        <v>316</v>
      </c>
      <c r="BD153" s="8">
        <v>295</v>
      </c>
      <c r="BE153" s="8">
        <v>448</v>
      </c>
      <c r="BF153" s="8">
        <v>311</v>
      </c>
      <c r="BG153" s="8">
        <v>216</v>
      </c>
      <c r="BH153" s="8">
        <v>218</v>
      </c>
      <c r="BI153" s="8">
        <v>156</v>
      </c>
      <c r="BJ153" s="8">
        <v>205</v>
      </c>
      <c r="BK153" s="8">
        <v>153</v>
      </c>
      <c r="BL153" s="8">
        <v>413</v>
      </c>
      <c r="BM153" s="8">
        <v>352</v>
      </c>
      <c r="BN153" s="8">
        <v>366</v>
      </c>
      <c r="BO153" s="8">
        <v>405</v>
      </c>
      <c r="BP153" s="8">
        <v>208</v>
      </c>
      <c r="BQ153" s="8">
        <v>142</v>
      </c>
      <c r="BR153" s="8">
        <v>266</v>
      </c>
      <c r="BS153" s="8">
        <v>262</v>
      </c>
      <c r="BT153" s="8">
        <v>271</v>
      </c>
      <c r="BU153" s="8">
        <v>186</v>
      </c>
      <c r="BV153" s="8">
        <v>158</v>
      </c>
      <c r="BW153" s="8">
        <v>160</v>
      </c>
      <c r="BX153" s="8">
        <v>286</v>
      </c>
      <c r="BY153" s="8">
        <v>230</v>
      </c>
      <c r="BZ153" s="8">
        <v>242</v>
      </c>
      <c r="CA153" s="8">
        <v>330</v>
      </c>
      <c r="CB153" s="8">
        <v>131</v>
      </c>
      <c r="CC153" s="8">
        <v>133</v>
      </c>
      <c r="CD153" s="8">
        <v>189</v>
      </c>
      <c r="CE153" s="8">
        <v>218</v>
      </c>
      <c r="CF153" s="8">
        <v>174</v>
      </c>
      <c r="CG153" s="8">
        <v>241</v>
      </c>
      <c r="CH153" s="8">
        <v>169</v>
      </c>
      <c r="CJ153" s="9"/>
      <c r="CK153" s="9"/>
      <c r="CL153" s="9"/>
      <c r="CM153" s="9"/>
      <c r="CN153" s="9"/>
      <c r="CO153" s="9"/>
      <c r="CP153" s="9"/>
      <c r="CQ153" s="9"/>
      <c r="CR153" s="9"/>
      <c r="CS153" s="9"/>
      <c r="CT153" s="9"/>
      <c r="CU153" s="9"/>
      <c r="CV153" s="9"/>
      <c r="CW153" s="9"/>
      <c r="CX153" s="9"/>
      <c r="CY153" s="9"/>
      <c r="CZ153" s="9"/>
      <c r="DA153" s="9"/>
      <c r="DB153" s="9"/>
      <c r="DC153" s="9"/>
      <c r="DD153" s="9"/>
      <c r="DE153" s="9"/>
      <c r="DF153" s="9"/>
      <c r="DG153" s="9"/>
      <c r="DH153" s="9"/>
      <c r="DI153" s="9"/>
      <c r="DJ153" s="9"/>
      <c r="DK153" s="9"/>
      <c r="DL153" s="9"/>
      <c r="DM153" s="9"/>
      <c r="DN153" s="9"/>
      <c r="DO153" s="9"/>
      <c r="DP153" s="9"/>
      <c r="DQ153" s="9"/>
      <c r="DR153" s="9"/>
      <c r="DS153" s="9"/>
      <c r="DT153" s="9"/>
      <c r="DU153" s="9"/>
      <c r="DV153" s="9"/>
      <c r="DW153" s="9"/>
      <c r="DX153" s="9"/>
      <c r="DY153" s="9"/>
      <c r="DZ153" s="9"/>
      <c r="EA153" s="9"/>
      <c r="EB153" s="9"/>
      <c r="EC153" s="9"/>
      <c r="ED153" s="9"/>
      <c r="EE153" s="9"/>
      <c r="EF153" s="9"/>
      <c r="EG153" s="9"/>
      <c r="EH153" s="9"/>
      <c r="EI153" s="9"/>
      <c r="EJ153" s="9"/>
      <c r="EK153" s="9"/>
      <c r="EL153" s="9"/>
      <c r="EM153" s="9"/>
      <c r="EN153" s="9"/>
      <c r="EO153" s="9"/>
      <c r="EP153" s="9"/>
      <c r="EQ153" s="9"/>
      <c r="ER153" s="9"/>
      <c r="ES153" s="9"/>
      <c r="ET153" s="9"/>
      <c r="EU153" s="9"/>
      <c r="EV153" s="9"/>
      <c r="EW153" s="9"/>
      <c r="EX153" s="9"/>
      <c r="EY153" s="9"/>
      <c r="EZ153" s="9"/>
      <c r="FA153" s="9"/>
      <c r="FB153" s="9"/>
      <c r="FC153" s="9"/>
      <c r="FD153" s="9"/>
      <c r="FE153" s="9"/>
      <c r="FF153" s="9"/>
      <c r="FG153" s="9"/>
      <c r="FH153" s="9"/>
      <c r="FI153" s="9"/>
    </row>
    <row r="154" spans="1:165" x14ac:dyDescent="0.2">
      <c r="A154" s="1" t="s">
        <v>1107</v>
      </c>
      <c r="B154" s="1" t="s">
        <v>1108</v>
      </c>
      <c r="C154" s="1" t="s">
        <v>453</v>
      </c>
      <c r="D154" s="1" t="str">
        <f>HYPERLINK("http://eros.fiehnlab.ucdavis.edu:8080/binbase-compound/bin/show/229959?db=rtx5","229959")</f>
        <v>229959</v>
      </c>
      <c r="E154" s="1" t="s">
        <v>1109</v>
      </c>
      <c r="F154" s="1" t="s">
        <v>184</v>
      </c>
      <c r="G154" s="1" t="s">
        <v>184</v>
      </c>
      <c r="H154" s="1"/>
      <c r="I154" s="8">
        <v>3953</v>
      </c>
      <c r="J154" s="8">
        <v>5073</v>
      </c>
      <c r="K154" s="8">
        <v>3984</v>
      </c>
      <c r="L154" s="8">
        <v>5050</v>
      </c>
      <c r="M154" s="8">
        <v>5270</v>
      </c>
      <c r="N154" s="8">
        <v>6059</v>
      </c>
      <c r="O154" s="8">
        <v>4133</v>
      </c>
      <c r="P154" s="8">
        <v>2305</v>
      </c>
      <c r="Q154" s="8">
        <v>4895</v>
      </c>
      <c r="R154" s="8">
        <v>4240</v>
      </c>
      <c r="S154" s="8">
        <v>4813</v>
      </c>
      <c r="T154" s="8">
        <v>4445</v>
      </c>
      <c r="U154" s="8">
        <v>5483</v>
      </c>
      <c r="V154" s="8">
        <v>4589</v>
      </c>
      <c r="W154" s="8">
        <v>4724</v>
      </c>
      <c r="X154" s="8">
        <v>5259</v>
      </c>
      <c r="Y154" s="8">
        <v>4463</v>
      </c>
      <c r="Z154" s="8">
        <v>4635</v>
      </c>
      <c r="AA154" s="8">
        <v>1461</v>
      </c>
      <c r="AB154" s="8">
        <v>2539</v>
      </c>
      <c r="AC154" s="8">
        <v>2704</v>
      </c>
      <c r="AD154" s="8">
        <v>2680</v>
      </c>
      <c r="AE154" s="8">
        <v>2445</v>
      </c>
      <c r="AF154" s="8">
        <v>1863</v>
      </c>
      <c r="AG154" s="8">
        <v>2329</v>
      </c>
      <c r="AH154" s="8">
        <v>4469</v>
      </c>
      <c r="AI154" s="8">
        <v>5324</v>
      </c>
      <c r="AJ154" s="8">
        <v>5815</v>
      </c>
      <c r="AK154" s="8">
        <v>4767</v>
      </c>
      <c r="AL154" s="8">
        <v>3353</v>
      </c>
      <c r="AM154" s="8">
        <v>2238</v>
      </c>
      <c r="AN154" s="8">
        <v>1872</v>
      </c>
      <c r="AO154" s="8">
        <v>1657</v>
      </c>
      <c r="AP154" s="8">
        <v>1962</v>
      </c>
      <c r="AQ154" s="8">
        <v>2248</v>
      </c>
      <c r="AR154" s="8">
        <v>1637</v>
      </c>
      <c r="AS154" s="8">
        <v>3992</v>
      </c>
      <c r="AT154" s="8">
        <v>4237</v>
      </c>
      <c r="AU154" s="8">
        <v>3319</v>
      </c>
      <c r="AV154" s="8">
        <v>3871</v>
      </c>
      <c r="AW154" s="8">
        <v>3245</v>
      </c>
      <c r="AX154" s="8">
        <v>3747</v>
      </c>
      <c r="AY154" s="8">
        <v>563</v>
      </c>
      <c r="AZ154" s="8">
        <v>575</v>
      </c>
      <c r="BA154" s="8">
        <v>519</v>
      </c>
      <c r="BB154" s="8">
        <v>719</v>
      </c>
      <c r="BC154" s="8">
        <v>333</v>
      </c>
      <c r="BD154" s="8">
        <v>723</v>
      </c>
      <c r="BE154" s="8">
        <v>3114</v>
      </c>
      <c r="BF154" s="8">
        <v>3189</v>
      </c>
      <c r="BG154" s="8">
        <v>4789</v>
      </c>
      <c r="BH154" s="8">
        <v>4553</v>
      </c>
      <c r="BI154" s="8">
        <v>5422</v>
      </c>
      <c r="BJ154" s="8">
        <v>2221</v>
      </c>
      <c r="BK154" s="8">
        <v>36652</v>
      </c>
      <c r="BL154" s="8">
        <v>29879</v>
      </c>
      <c r="BM154" s="8">
        <v>32981</v>
      </c>
      <c r="BN154" s="8">
        <v>25436</v>
      </c>
      <c r="BO154" s="8">
        <v>35083</v>
      </c>
      <c r="BP154" s="8">
        <v>30302</v>
      </c>
      <c r="BQ154" s="8">
        <v>41701</v>
      </c>
      <c r="BR154" s="8">
        <v>40377</v>
      </c>
      <c r="BS154" s="8">
        <v>44257</v>
      </c>
      <c r="BT154" s="8">
        <v>33531</v>
      </c>
      <c r="BU154" s="8">
        <v>35338</v>
      </c>
      <c r="BV154" s="8">
        <v>32315</v>
      </c>
      <c r="BW154" s="8">
        <v>20743</v>
      </c>
      <c r="BX154" s="8">
        <v>15548</v>
      </c>
      <c r="BY154" s="8">
        <v>17625</v>
      </c>
      <c r="BZ154" s="8">
        <v>20427</v>
      </c>
      <c r="CA154" s="8">
        <v>20443</v>
      </c>
      <c r="CB154" s="8">
        <v>12768</v>
      </c>
      <c r="CC154" s="8">
        <v>36681</v>
      </c>
      <c r="CD154" s="8">
        <v>35049</v>
      </c>
      <c r="CE154" s="8">
        <v>42502</v>
      </c>
      <c r="CF154" s="8">
        <v>35075</v>
      </c>
      <c r="CG154" s="8">
        <v>38808</v>
      </c>
      <c r="CH154" s="8">
        <v>37971</v>
      </c>
      <c r="CJ154" s="9"/>
      <c r="CK154" s="9"/>
      <c r="CL154" s="9"/>
      <c r="CM154" s="9"/>
      <c r="CN154" s="9"/>
      <c r="CO154" s="9"/>
      <c r="CP154" s="9"/>
      <c r="CQ154" s="9"/>
      <c r="CR154" s="9"/>
      <c r="CS154" s="9"/>
      <c r="CT154" s="9"/>
      <c r="CU154" s="9"/>
      <c r="CV154" s="9"/>
      <c r="CW154" s="9"/>
      <c r="CX154" s="9"/>
      <c r="CY154" s="9"/>
      <c r="CZ154" s="9"/>
      <c r="DA154" s="9"/>
      <c r="DB154" s="9"/>
      <c r="DC154" s="9"/>
      <c r="DD154" s="9"/>
      <c r="DE154" s="9"/>
      <c r="DF154" s="9"/>
      <c r="DG154" s="9"/>
      <c r="DH154" s="9"/>
      <c r="DI154" s="9"/>
      <c r="DJ154" s="9"/>
      <c r="DK154" s="9"/>
      <c r="DL154" s="9"/>
      <c r="DM154" s="9"/>
      <c r="DN154" s="9"/>
      <c r="DO154" s="9"/>
      <c r="DP154" s="9"/>
      <c r="DQ154" s="9"/>
      <c r="DR154" s="9"/>
      <c r="DS154" s="9"/>
      <c r="DT154" s="9"/>
      <c r="DU154" s="9"/>
      <c r="DV154" s="9"/>
      <c r="DW154" s="9"/>
      <c r="DX154" s="9"/>
      <c r="DY154" s="9"/>
      <c r="DZ154" s="9"/>
      <c r="EA154" s="9"/>
      <c r="EB154" s="9"/>
      <c r="EC154" s="9"/>
      <c r="ED154" s="9"/>
      <c r="EE154" s="9"/>
      <c r="EF154" s="9"/>
      <c r="EG154" s="9"/>
      <c r="EH154" s="9"/>
      <c r="EI154" s="9"/>
      <c r="EJ154" s="9"/>
      <c r="EK154" s="9"/>
      <c r="EL154" s="9"/>
      <c r="EM154" s="9"/>
      <c r="EN154" s="9"/>
      <c r="EO154" s="9"/>
      <c r="EP154" s="9"/>
      <c r="EQ154" s="9"/>
      <c r="ER154" s="9"/>
      <c r="ES154" s="9"/>
      <c r="ET154" s="9"/>
      <c r="EU154" s="9"/>
      <c r="EV154" s="9"/>
      <c r="EW154" s="9"/>
      <c r="EX154" s="9"/>
      <c r="EY154" s="9"/>
      <c r="EZ154" s="9"/>
      <c r="FA154" s="9"/>
      <c r="FB154" s="9"/>
      <c r="FC154" s="9"/>
      <c r="FD154" s="9"/>
      <c r="FE154" s="9"/>
      <c r="FF154" s="9"/>
      <c r="FG154" s="9"/>
      <c r="FH154" s="9"/>
      <c r="FI154" s="9"/>
    </row>
    <row r="155" spans="1:165" x14ac:dyDescent="0.2">
      <c r="A155" s="1" t="s">
        <v>1354</v>
      </c>
      <c r="B155" s="1" t="s">
        <v>1355</v>
      </c>
      <c r="C155" s="1" t="s">
        <v>1224</v>
      </c>
      <c r="D155" s="1" t="str">
        <f>HYPERLINK("http://eros.fiehnlab.ucdavis.edu:8080/binbase-compound/bin/show/201887?db=rtx5","201887")</f>
        <v>201887</v>
      </c>
      <c r="E155" s="1" t="s">
        <v>1356</v>
      </c>
      <c r="F155" s="1" t="s">
        <v>184</v>
      </c>
      <c r="G155" s="1" t="s">
        <v>184</v>
      </c>
      <c r="H155" s="1"/>
      <c r="I155" s="8">
        <v>508</v>
      </c>
      <c r="J155" s="8">
        <v>345</v>
      </c>
      <c r="K155" s="8">
        <v>609</v>
      </c>
      <c r="L155" s="8">
        <v>556</v>
      </c>
      <c r="M155" s="8">
        <v>524</v>
      </c>
      <c r="N155" s="8">
        <v>685</v>
      </c>
      <c r="O155" s="8">
        <v>523</v>
      </c>
      <c r="P155" s="8">
        <v>662</v>
      </c>
      <c r="Q155" s="8">
        <v>575</v>
      </c>
      <c r="R155" s="8">
        <v>831</v>
      </c>
      <c r="S155" s="8">
        <v>834</v>
      </c>
      <c r="T155" s="8">
        <v>395</v>
      </c>
      <c r="U155" s="8">
        <v>783</v>
      </c>
      <c r="V155" s="8">
        <v>412</v>
      </c>
      <c r="W155" s="8">
        <v>423</v>
      </c>
      <c r="X155" s="8">
        <v>513</v>
      </c>
      <c r="Y155" s="8">
        <v>554</v>
      </c>
      <c r="Z155" s="8">
        <v>683</v>
      </c>
      <c r="AA155" s="8">
        <v>336</v>
      </c>
      <c r="AB155" s="8">
        <v>303</v>
      </c>
      <c r="AC155" s="8">
        <v>651</v>
      </c>
      <c r="AD155" s="8">
        <v>549</v>
      </c>
      <c r="AE155" s="8">
        <v>743</v>
      </c>
      <c r="AF155" s="8">
        <v>431</v>
      </c>
      <c r="AG155" s="8">
        <v>373</v>
      </c>
      <c r="AH155" s="8">
        <v>434</v>
      </c>
      <c r="AI155" s="8">
        <v>527</v>
      </c>
      <c r="AJ155" s="8">
        <v>532</v>
      </c>
      <c r="AK155" s="8">
        <v>488</v>
      </c>
      <c r="AL155" s="8">
        <v>729</v>
      </c>
      <c r="AM155" s="8">
        <v>566</v>
      </c>
      <c r="AN155" s="8">
        <v>619</v>
      </c>
      <c r="AO155" s="8">
        <v>550</v>
      </c>
      <c r="AP155" s="8">
        <v>588</v>
      </c>
      <c r="AQ155" s="8">
        <v>584</v>
      </c>
      <c r="AR155" s="8">
        <v>492</v>
      </c>
      <c r="AS155" s="8">
        <v>683</v>
      </c>
      <c r="AT155" s="8">
        <v>568</v>
      </c>
      <c r="AU155" s="8">
        <v>535</v>
      </c>
      <c r="AV155" s="8">
        <v>395</v>
      </c>
      <c r="AW155" s="8">
        <v>628</v>
      </c>
      <c r="AX155" s="8">
        <v>535</v>
      </c>
      <c r="AY155" s="8">
        <v>511</v>
      </c>
      <c r="AZ155" s="8">
        <v>693</v>
      </c>
      <c r="BA155" s="8">
        <v>409</v>
      </c>
      <c r="BB155" s="8">
        <v>582</v>
      </c>
      <c r="BC155" s="8">
        <v>1021</v>
      </c>
      <c r="BD155" s="8">
        <v>851</v>
      </c>
      <c r="BE155" s="8">
        <v>436</v>
      </c>
      <c r="BF155" s="8">
        <v>362</v>
      </c>
      <c r="BG155" s="8">
        <v>515</v>
      </c>
      <c r="BH155" s="8">
        <v>427</v>
      </c>
      <c r="BI155" s="8">
        <v>526</v>
      </c>
      <c r="BJ155" s="8">
        <v>409</v>
      </c>
      <c r="BK155" s="8">
        <v>687</v>
      </c>
      <c r="BL155" s="8">
        <v>466</v>
      </c>
      <c r="BM155" s="8">
        <v>640</v>
      </c>
      <c r="BN155" s="8">
        <v>413</v>
      </c>
      <c r="BO155" s="8">
        <v>732</v>
      </c>
      <c r="BP155" s="8">
        <v>743</v>
      </c>
      <c r="BQ155" s="8">
        <v>469</v>
      </c>
      <c r="BR155" s="8">
        <v>595</v>
      </c>
      <c r="BS155" s="8">
        <v>416</v>
      </c>
      <c r="BT155" s="8">
        <v>622</v>
      </c>
      <c r="BU155" s="8">
        <v>572</v>
      </c>
      <c r="BV155" s="8">
        <v>532</v>
      </c>
      <c r="BW155" s="8">
        <v>420</v>
      </c>
      <c r="BX155" s="8">
        <v>679</v>
      </c>
      <c r="BY155" s="8">
        <v>355</v>
      </c>
      <c r="BZ155" s="8">
        <v>528</v>
      </c>
      <c r="CA155" s="8">
        <v>528</v>
      </c>
      <c r="CB155" s="8">
        <v>455</v>
      </c>
      <c r="CC155" s="8">
        <v>442</v>
      </c>
      <c r="CD155" s="8">
        <v>283</v>
      </c>
      <c r="CE155" s="8">
        <v>548</v>
      </c>
      <c r="CF155" s="8">
        <v>606</v>
      </c>
      <c r="CG155" s="8">
        <v>436</v>
      </c>
      <c r="CH155" s="8">
        <v>384</v>
      </c>
      <c r="CJ155" s="9"/>
      <c r="CK155" s="9"/>
      <c r="CL155" s="9"/>
      <c r="CM155" s="9"/>
      <c r="CN155" s="9"/>
      <c r="CO155" s="9"/>
      <c r="CP155" s="9"/>
      <c r="CQ155" s="9"/>
      <c r="CR155" s="9"/>
      <c r="CS155" s="9"/>
      <c r="CT155" s="9"/>
      <c r="CU155" s="9"/>
      <c r="CV155" s="9"/>
      <c r="CW155" s="9"/>
      <c r="CX155" s="9"/>
      <c r="CY155" s="9"/>
      <c r="CZ155" s="9"/>
      <c r="DA155" s="9"/>
      <c r="DB155" s="9"/>
      <c r="DC155" s="9"/>
      <c r="DD155" s="9"/>
      <c r="DE155" s="9"/>
      <c r="DF155" s="9"/>
      <c r="DG155" s="9"/>
      <c r="DH155" s="9"/>
      <c r="DI155" s="9"/>
      <c r="DJ155" s="9"/>
      <c r="DK155" s="9"/>
      <c r="DL155" s="9"/>
      <c r="DM155" s="9"/>
      <c r="DN155" s="9"/>
      <c r="DO155" s="9"/>
      <c r="DP155" s="9"/>
      <c r="DQ155" s="9"/>
      <c r="DR155" s="9"/>
      <c r="DS155" s="9"/>
      <c r="DT155" s="9"/>
      <c r="DU155" s="9"/>
      <c r="DV155" s="9"/>
      <c r="DW155" s="9"/>
      <c r="DX155" s="9"/>
      <c r="DY155" s="9"/>
      <c r="DZ155" s="9"/>
      <c r="EA155" s="9"/>
      <c r="EB155" s="9"/>
      <c r="EC155" s="9"/>
      <c r="ED155" s="9"/>
      <c r="EE155" s="9"/>
      <c r="EF155" s="9"/>
      <c r="EG155" s="9"/>
      <c r="EH155" s="9"/>
      <c r="EI155" s="9"/>
      <c r="EJ155" s="9"/>
      <c r="EK155" s="9"/>
      <c r="EL155" s="9"/>
      <c r="EM155" s="9"/>
      <c r="EN155" s="9"/>
      <c r="EO155" s="9"/>
      <c r="EP155" s="9"/>
      <c r="EQ155" s="9"/>
      <c r="ER155" s="9"/>
      <c r="ES155" s="9"/>
      <c r="ET155" s="9"/>
      <c r="EU155" s="9"/>
      <c r="EV155" s="9"/>
      <c r="EW155" s="9"/>
      <c r="EX155" s="9"/>
      <c r="EY155" s="9"/>
      <c r="EZ155" s="9"/>
      <c r="FA155" s="9"/>
      <c r="FB155" s="9"/>
      <c r="FC155" s="9"/>
      <c r="FD155" s="9"/>
      <c r="FE155" s="9"/>
      <c r="FF155" s="9"/>
      <c r="FG155" s="9"/>
      <c r="FH155" s="9"/>
      <c r="FI155" s="9"/>
    </row>
    <row r="156" spans="1:165" x14ac:dyDescent="0.2">
      <c r="A156" s="1" t="s">
        <v>693</v>
      </c>
      <c r="B156" s="1" t="s">
        <v>694</v>
      </c>
      <c r="C156" s="1" t="s">
        <v>265</v>
      </c>
      <c r="D156" s="1" t="str">
        <f>HYPERLINK("http://eros.fiehnlab.ucdavis.edu:8080/binbase-compound/bin/show/373720?db=rtx5","373720")</f>
        <v>373720</v>
      </c>
      <c r="E156" s="1" t="s">
        <v>695</v>
      </c>
      <c r="F156" s="1" t="s">
        <v>184</v>
      </c>
      <c r="G156" s="1" t="s">
        <v>184</v>
      </c>
      <c r="H156" s="1"/>
      <c r="I156" s="8">
        <v>3328</v>
      </c>
      <c r="J156" s="8">
        <v>2706</v>
      </c>
      <c r="K156" s="8">
        <v>3029</v>
      </c>
      <c r="L156" s="8">
        <v>2892</v>
      </c>
      <c r="M156" s="8">
        <v>2493</v>
      </c>
      <c r="N156" s="8">
        <v>3238</v>
      </c>
      <c r="O156" s="8">
        <v>2375</v>
      </c>
      <c r="P156" s="8">
        <v>2513</v>
      </c>
      <c r="Q156" s="8">
        <v>2752</v>
      </c>
      <c r="R156" s="8">
        <v>2931</v>
      </c>
      <c r="S156" s="8">
        <v>3055</v>
      </c>
      <c r="T156" s="8">
        <v>1853</v>
      </c>
      <c r="U156" s="8">
        <v>1427</v>
      </c>
      <c r="V156" s="8">
        <v>2118</v>
      </c>
      <c r="W156" s="8">
        <v>2189</v>
      </c>
      <c r="X156" s="8">
        <v>2534</v>
      </c>
      <c r="Y156" s="8">
        <v>59</v>
      </c>
      <c r="Z156" s="8">
        <v>2280</v>
      </c>
      <c r="AA156" s="8">
        <v>1520</v>
      </c>
      <c r="AB156" s="8">
        <v>2189</v>
      </c>
      <c r="AC156" s="8">
        <v>2306</v>
      </c>
      <c r="AD156" s="8">
        <v>2309</v>
      </c>
      <c r="AE156" s="8">
        <v>2360</v>
      </c>
      <c r="AF156" s="8">
        <v>1927</v>
      </c>
      <c r="AG156" s="8">
        <v>1499</v>
      </c>
      <c r="AH156" s="8">
        <v>2084</v>
      </c>
      <c r="AI156" s="8">
        <v>2531</v>
      </c>
      <c r="AJ156" s="8">
        <v>2420</v>
      </c>
      <c r="AK156" s="8">
        <v>1896</v>
      </c>
      <c r="AL156" s="8">
        <v>2767</v>
      </c>
      <c r="AM156" s="8">
        <v>3421</v>
      </c>
      <c r="AN156" s="8">
        <v>2446</v>
      </c>
      <c r="AO156" s="8">
        <v>2414</v>
      </c>
      <c r="AP156" s="8">
        <v>2808</v>
      </c>
      <c r="AQ156" s="8">
        <v>3201</v>
      </c>
      <c r="AR156" s="8">
        <v>135</v>
      </c>
      <c r="AS156" s="8">
        <v>3155</v>
      </c>
      <c r="AT156" s="8">
        <v>2634</v>
      </c>
      <c r="AU156" s="8">
        <v>2617</v>
      </c>
      <c r="AV156" s="8">
        <v>2087</v>
      </c>
      <c r="AW156" s="8">
        <v>2614</v>
      </c>
      <c r="AX156" s="8">
        <v>1966</v>
      </c>
      <c r="AY156" s="8">
        <v>2639</v>
      </c>
      <c r="AZ156" s="8">
        <v>2704</v>
      </c>
      <c r="BA156" s="8">
        <v>3260</v>
      </c>
      <c r="BB156" s="8">
        <v>2847</v>
      </c>
      <c r="BC156" s="8">
        <v>3039</v>
      </c>
      <c r="BD156" s="8">
        <v>3164</v>
      </c>
      <c r="BE156" s="8">
        <v>2531</v>
      </c>
      <c r="BF156" s="8">
        <v>2533</v>
      </c>
      <c r="BG156" s="8">
        <v>2174</v>
      </c>
      <c r="BH156" s="8">
        <v>1776</v>
      </c>
      <c r="BI156" s="8">
        <v>2175</v>
      </c>
      <c r="BJ156" s="8">
        <v>2375</v>
      </c>
      <c r="BK156" s="8">
        <v>2361</v>
      </c>
      <c r="BL156" s="8">
        <v>2696</v>
      </c>
      <c r="BM156" s="8">
        <v>2705</v>
      </c>
      <c r="BN156" s="8">
        <v>1846</v>
      </c>
      <c r="BO156" s="8">
        <v>2856</v>
      </c>
      <c r="BP156" s="8">
        <v>2435</v>
      </c>
      <c r="BQ156" s="8">
        <v>2350</v>
      </c>
      <c r="BR156" s="8">
        <v>2263</v>
      </c>
      <c r="BS156" s="8">
        <v>2549</v>
      </c>
      <c r="BT156" s="8">
        <v>2458</v>
      </c>
      <c r="BU156" s="8">
        <v>2378</v>
      </c>
      <c r="BV156" s="8">
        <v>2225</v>
      </c>
      <c r="BW156" s="8">
        <v>2586</v>
      </c>
      <c r="BX156" s="8">
        <v>2292</v>
      </c>
      <c r="BY156" s="8">
        <v>2352</v>
      </c>
      <c r="BZ156" s="8">
        <v>2282</v>
      </c>
      <c r="CA156" s="8">
        <v>1948</v>
      </c>
      <c r="CB156" s="8">
        <v>1848</v>
      </c>
      <c r="CC156" s="8">
        <v>2364</v>
      </c>
      <c r="CD156" s="8">
        <v>1839</v>
      </c>
      <c r="CE156" s="8">
        <v>2148</v>
      </c>
      <c r="CF156" s="8">
        <v>1945</v>
      </c>
      <c r="CG156" s="8">
        <v>2205</v>
      </c>
      <c r="CH156" s="8">
        <v>1821</v>
      </c>
      <c r="CJ156" s="9"/>
      <c r="CK156" s="9"/>
      <c r="CL156" s="9"/>
      <c r="CM156" s="9"/>
      <c r="CN156" s="9"/>
      <c r="CO156" s="9"/>
      <c r="CP156" s="9"/>
      <c r="CQ156" s="9"/>
      <c r="CR156" s="9"/>
      <c r="CS156" s="9"/>
      <c r="CT156" s="9"/>
      <c r="CU156" s="9"/>
      <c r="CV156" s="9"/>
      <c r="CW156" s="9"/>
      <c r="CX156" s="9"/>
      <c r="CY156" s="9"/>
      <c r="CZ156" s="9"/>
      <c r="DA156" s="9"/>
      <c r="DB156" s="9"/>
      <c r="DC156" s="9"/>
      <c r="DD156" s="9"/>
      <c r="DE156" s="9"/>
      <c r="DF156" s="9"/>
      <c r="DG156" s="9"/>
      <c r="DH156" s="9"/>
      <c r="DI156" s="9"/>
      <c r="DJ156" s="9"/>
      <c r="DK156" s="9"/>
      <c r="DL156" s="9"/>
      <c r="DM156" s="9"/>
      <c r="DN156" s="9"/>
      <c r="DO156" s="9"/>
      <c r="DP156" s="9"/>
      <c r="DQ156" s="9"/>
      <c r="DR156" s="9"/>
      <c r="DS156" s="9"/>
      <c r="DT156" s="9"/>
      <c r="DU156" s="9"/>
      <c r="DV156" s="9"/>
      <c r="DW156" s="9"/>
      <c r="DX156" s="9"/>
      <c r="DY156" s="9"/>
      <c r="DZ156" s="9"/>
      <c r="EA156" s="9"/>
      <c r="EB156" s="9"/>
      <c r="EC156" s="9"/>
      <c r="ED156" s="9"/>
      <c r="EE156" s="9"/>
      <c r="EF156" s="9"/>
      <c r="EG156" s="9"/>
      <c r="EH156" s="9"/>
      <c r="EI156" s="9"/>
      <c r="EJ156" s="9"/>
      <c r="EK156" s="9"/>
      <c r="EL156" s="9"/>
      <c r="EM156" s="9"/>
      <c r="EN156" s="9"/>
      <c r="EO156" s="9"/>
      <c r="EP156" s="9"/>
      <c r="EQ156" s="9"/>
      <c r="ER156" s="9"/>
      <c r="ES156" s="9"/>
      <c r="ET156" s="9"/>
      <c r="EU156" s="9"/>
      <c r="EV156" s="9"/>
      <c r="EW156" s="9"/>
      <c r="EX156" s="9"/>
      <c r="EY156" s="9"/>
      <c r="EZ156" s="9"/>
      <c r="FA156" s="9"/>
      <c r="FB156" s="9"/>
      <c r="FC156" s="9"/>
      <c r="FD156" s="9"/>
      <c r="FE156" s="9"/>
      <c r="FF156" s="9"/>
      <c r="FG156" s="9"/>
      <c r="FH156" s="9"/>
      <c r="FI156" s="9"/>
    </row>
    <row r="157" spans="1:165" x14ac:dyDescent="0.2">
      <c r="A157" s="1" t="s">
        <v>1287</v>
      </c>
      <c r="B157" s="1" t="s">
        <v>1288</v>
      </c>
      <c r="C157" s="1" t="s">
        <v>487</v>
      </c>
      <c r="D157" s="1" t="str">
        <f>HYPERLINK("http://eros.fiehnlab.ucdavis.edu:8080/binbase-compound/bin/show/213253?db=rtx5","213253")</f>
        <v>213253</v>
      </c>
      <c r="E157" s="1" t="s">
        <v>1289</v>
      </c>
      <c r="F157" s="1" t="s">
        <v>184</v>
      </c>
      <c r="G157" s="1" t="s">
        <v>184</v>
      </c>
      <c r="H157" s="1"/>
      <c r="I157" s="8">
        <v>10248</v>
      </c>
      <c r="J157" s="8">
        <v>7468</v>
      </c>
      <c r="K157" s="8">
        <v>8408</v>
      </c>
      <c r="L157" s="8">
        <v>8429</v>
      </c>
      <c r="M157" s="8">
        <v>13284</v>
      </c>
      <c r="N157" s="8">
        <v>12646</v>
      </c>
      <c r="O157" s="8">
        <v>8740</v>
      </c>
      <c r="P157" s="8">
        <v>8514</v>
      </c>
      <c r="Q157" s="8">
        <v>12850</v>
      </c>
      <c r="R157" s="8">
        <v>19905</v>
      </c>
      <c r="S157" s="8">
        <v>21415</v>
      </c>
      <c r="T157" s="8">
        <v>6832</v>
      </c>
      <c r="U157" s="8">
        <v>14063</v>
      </c>
      <c r="V157" s="8">
        <v>18434</v>
      </c>
      <c r="W157" s="8">
        <v>16184</v>
      </c>
      <c r="X157" s="8">
        <v>12105</v>
      </c>
      <c r="Y157" s="8">
        <v>9965</v>
      </c>
      <c r="Z157" s="8">
        <v>18567</v>
      </c>
      <c r="AA157" s="8">
        <v>8362</v>
      </c>
      <c r="AB157" s="8">
        <v>7125</v>
      </c>
      <c r="AC157" s="8">
        <v>11200</v>
      </c>
      <c r="AD157" s="8">
        <v>6132</v>
      </c>
      <c r="AE157" s="8">
        <v>10498</v>
      </c>
      <c r="AF157" s="8">
        <v>16672</v>
      </c>
      <c r="AG157" s="8">
        <v>6636</v>
      </c>
      <c r="AH157" s="8">
        <v>14083</v>
      </c>
      <c r="AI157" s="8">
        <v>7587</v>
      </c>
      <c r="AJ157" s="8">
        <v>10754</v>
      </c>
      <c r="AK157" s="8">
        <v>9670</v>
      </c>
      <c r="AL157" s="8">
        <v>14973</v>
      </c>
      <c r="AM157" s="8">
        <v>11207</v>
      </c>
      <c r="AN157" s="8">
        <v>22633</v>
      </c>
      <c r="AO157" s="8">
        <v>9358</v>
      </c>
      <c r="AP157" s="8">
        <v>17163</v>
      </c>
      <c r="AQ157" s="8">
        <v>13514</v>
      </c>
      <c r="AR157" s="8">
        <v>17062</v>
      </c>
      <c r="AS157" s="8">
        <v>10828</v>
      </c>
      <c r="AT157" s="8">
        <v>14815</v>
      </c>
      <c r="AU157" s="8">
        <v>8974</v>
      </c>
      <c r="AV157" s="8">
        <v>8585</v>
      </c>
      <c r="AW157" s="8">
        <v>23026</v>
      </c>
      <c r="AX157" s="8">
        <v>12248</v>
      </c>
      <c r="AY157" s="8">
        <v>7664</v>
      </c>
      <c r="AZ157" s="8">
        <v>15800</v>
      </c>
      <c r="BA157" s="8">
        <v>10207</v>
      </c>
      <c r="BB157" s="8">
        <v>10571</v>
      </c>
      <c r="BC157" s="8">
        <v>9423</v>
      </c>
      <c r="BD157" s="8">
        <v>13335</v>
      </c>
      <c r="BE157" s="8">
        <v>12221</v>
      </c>
      <c r="BF157" s="8">
        <v>14500</v>
      </c>
      <c r="BG157" s="8">
        <v>6945</v>
      </c>
      <c r="BH157" s="8">
        <v>7352</v>
      </c>
      <c r="BI157" s="8">
        <v>12893</v>
      </c>
      <c r="BJ157" s="8">
        <v>12658</v>
      </c>
      <c r="BK157" s="8">
        <v>17267</v>
      </c>
      <c r="BL157" s="8">
        <v>9491</v>
      </c>
      <c r="BM157" s="8">
        <v>8128</v>
      </c>
      <c r="BN157" s="8">
        <v>13955</v>
      </c>
      <c r="BO157" s="8">
        <v>16074</v>
      </c>
      <c r="BP157" s="8">
        <v>21961</v>
      </c>
      <c r="BQ157" s="8">
        <v>19720</v>
      </c>
      <c r="BR157" s="8">
        <v>14837</v>
      </c>
      <c r="BS157" s="8">
        <v>16556</v>
      </c>
      <c r="BT157" s="8">
        <v>13731</v>
      </c>
      <c r="BU157" s="8">
        <v>11293</v>
      </c>
      <c r="BV157" s="8">
        <v>17818</v>
      </c>
      <c r="BW157" s="8">
        <v>10130</v>
      </c>
      <c r="BX157" s="8">
        <v>6958</v>
      </c>
      <c r="BY157" s="8">
        <v>8004</v>
      </c>
      <c r="BZ157" s="8">
        <v>10968</v>
      </c>
      <c r="CA157" s="8">
        <v>10862</v>
      </c>
      <c r="CB157" s="8">
        <v>18266</v>
      </c>
      <c r="CC157" s="8">
        <v>21283</v>
      </c>
      <c r="CD157" s="8">
        <v>17142</v>
      </c>
      <c r="CE157" s="8">
        <v>15779</v>
      </c>
      <c r="CF157" s="8">
        <v>6212</v>
      </c>
      <c r="CG157" s="8">
        <v>9994</v>
      </c>
      <c r="CH157" s="8">
        <v>14583</v>
      </c>
      <c r="CJ157" s="9"/>
      <c r="CK157" s="9"/>
      <c r="CL157" s="9"/>
      <c r="CM157" s="9"/>
      <c r="CN157" s="9"/>
      <c r="CO157" s="9"/>
      <c r="CP157" s="9"/>
      <c r="CQ157" s="9"/>
      <c r="CR157" s="9"/>
      <c r="CS157" s="9"/>
      <c r="CT157" s="9"/>
      <c r="CU157" s="9"/>
      <c r="CV157" s="9"/>
      <c r="CW157" s="9"/>
      <c r="CX157" s="9"/>
      <c r="CY157" s="9"/>
      <c r="CZ157" s="9"/>
      <c r="DA157" s="9"/>
      <c r="DB157" s="9"/>
      <c r="DC157" s="9"/>
      <c r="DD157" s="9"/>
      <c r="DE157" s="9"/>
      <c r="DF157" s="9"/>
      <c r="DG157" s="9"/>
      <c r="DH157" s="9"/>
      <c r="DI157" s="9"/>
      <c r="DJ157" s="9"/>
      <c r="DK157" s="9"/>
      <c r="DL157" s="9"/>
      <c r="DM157" s="9"/>
      <c r="DN157" s="9"/>
      <c r="DO157" s="9"/>
      <c r="DP157" s="9"/>
      <c r="DQ157" s="9"/>
      <c r="DR157" s="9"/>
      <c r="DS157" s="9"/>
      <c r="DT157" s="9"/>
      <c r="DU157" s="9"/>
      <c r="DV157" s="9"/>
      <c r="DW157" s="9"/>
      <c r="DX157" s="9"/>
      <c r="DY157" s="9"/>
      <c r="DZ157" s="9"/>
      <c r="EA157" s="9"/>
      <c r="EB157" s="9"/>
      <c r="EC157" s="9"/>
      <c r="ED157" s="9"/>
      <c r="EE157" s="9"/>
      <c r="EF157" s="9"/>
      <c r="EG157" s="9"/>
      <c r="EH157" s="9"/>
      <c r="EI157" s="9"/>
      <c r="EJ157" s="9"/>
      <c r="EK157" s="9"/>
      <c r="EL157" s="9"/>
      <c r="EM157" s="9"/>
      <c r="EN157" s="9"/>
      <c r="EO157" s="9"/>
      <c r="EP157" s="9"/>
      <c r="EQ157" s="9"/>
      <c r="ER157" s="9"/>
      <c r="ES157" s="9"/>
      <c r="ET157" s="9"/>
      <c r="EU157" s="9"/>
      <c r="EV157" s="9"/>
      <c r="EW157" s="9"/>
      <c r="EX157" s="9"/>
      <c r="EY157" s="9"/>
      <c r="EZ157" s="9"/>
      <c r="FA157" s="9"/>
      <c r="FB157" s="9"/>
      <c r="FC157" s="9"/>
      <c r="FD157" s="9"/>
      <c r="FE157" s="9"/>
      <c r="FF157" s="9"/>
      <c r="FG157" s="9"/>
      <c r="FH157" s="9"/>
      <c r="FI157" s="9"/>
    </row>
    <row r="158" spans="1:165" x14ac:dyDescent="0.2">
      <c r="A158" s="1" t="s">
        <v>1394</v>
      </c>
      <c r="B158" s="1" t="s">
        <v>1395</v>
      </c>
      <c r="C158" s="1" t="s">
        <v>571</v>
      </c>
      <c r="D158" s="1" t="str">
        <f>HYPERLINK("http://eros.fiehnlab.ucdavis.edu:8080/binbase-compound/bin/show/199813?db=rtx5","199813")</f>
        <v>199813</v>
      </c>
      <c r="E158" s="1" t="s">
        <v>1396</v>
      </c>
      <c r="F158" s="1" t="s">
        <v>184</v>
      </c>
      <c r="G158" s="1" t="s">
        <v>184</v>
      </c>
      <c r="H158" s="1"/>
      <c r="I158" s="8">
        <v>1594</v>
      </c>
      <c r="J158" s="8">
        <v>1508</v>
      </c>
      <c r="K158" s="8">
        <v>968</v>
      </c>
      <c r="L158" s="8">
        <v>969</v>
      </c>
      <c r="M158" s="8">
        <v>1717</v>
      </c>
      <c r="N158" s="8">
        <v>1311</v>
      </c>
      <c r="O158" s="8">
        <v>1067</v>
      </c>
      <c r="P158" s="8">
        <v>1299</v>
      </c>
      <c r="Q158" s="8">
        <v>2040</v>
      </c>
      <c r="R158" s="8">
        <v>2007</v>
      </c>
      <c r="S158" s="8">
        <v>2375</v>
      </c>
      <c r="T158" s="8">
        <v>685</v>
      </c>
      <c r="U158" s="8">
        <v>2988</v>
      </c>
      <c r="V158" s="8">
        <v>2510</v>
      </c>
      <c r="W158" s="8">
        <v>1945</v>
      </c>
      <c r="X158" s="8">
        <v>2039</v>
      </c>
      <c r="Y158" s="8">
        <v>2218</v>
      </c>
      <c r="Z158" s="8">
        <v>1667</v>
      </c>
      <c r="AA158" s="8">
        <v>955</v>
      </c>
      <c r="AB158" s="8">
        <v>1024</v>
      </c>
      <c r="AC158" s="8">
        <v>1063</v>
      </c>
      <c r="AD158" s="8">
        <v>1047</v>
      </c>
      <c r="AE158" s="8">
        <v>1688</v>
      </c>
      <c r="AF158" s="8">
        <v>2003</v>
      </c>
      <c r="AG158" s="8">
        <v>1095</v>
      </c>
      <c r="AH158" s="8">
        <v>1260</v>
      </c>
      <c r="AI158" s="8">
        <v>800</v>
      </c>
      <c r="AJ158" s="8">
        <v>3488</v>
      </c>
      <c r="AK158" s="8">
        <v>1659</v>
      </c>
      <c r="AL158" s="8">
        <v>1355</v>
      </c>
      <c r="AM158" s="8">
        <v>1692</v>
      </c>
      <c r="AN158" s="8">
        <v>1834</v>
      </c>
      <c r="AO158" s="8">
        <v>853</v>
      </c>
      <c r="AP158" s="8">
        <v>2473</v>
      </c>
      <c r="AQ158" s="8">
        <v>1902</v>
      </c>
      <c r="AR158" s="8">
        <v>1079</v>
      </c>
      <c r="AS158" s="8">
        <v>1295</v>
      </c>
      <c r="AT158" s="8">
        <v>2242</v>
      </c>
      <c r="AU158" s="8">
        <v>1065</v>
      </c>
      <c r="AV158" s="8">
        <v>1293</v>
      </c>
      <c r="AW158" s="8">
        <v>2253</v>
      </c>
      <c r="AX158" s="8">
        <v>1777</v>
      </c>
      <c r="AY158" s="8">
        <v>914</v>
      </c>
      <c r="AZ158" s="8">
        <v>1476</v>
      </c>
      <c r="BA158" s="8">
        <v>1608</v>
      </c>
      <c r="BB158" s="8">
        <v>1208</v>
      </c>
      <c r="BC158" s="8">
        <v>1360</v>
      </c>
      <c r="BD158" s="8">
        <v>1238</v>
      </c>
      <c r="BE158" s="8">
        <v>1866</v>
      </c>
      <c r="BF158" s="8">
        <v>1596</v>
      </c>
      <c r="BG158" s="8">
        <v>1510</v>
      </c>
      <c r="BH158" s="8">
        <v>739</v>
      </c>
      <c r="BI158" s="8">
        <v>1595</v>
      </c>
      <c r="BJ158" s="8">
        <v>1860</v>
      </c>
      <c r="BK158" s="8">
        <v>2287</v>
      </c>
      <c r="BL158" s="8">
        <v>1278</v>
      </c>
      <c r="BM158" s="8">
        <v>1362</v>
      </c>
      <c r="BN158" s="8">
        <v>1428</v>
      </c>
      <c r="BO158" s="8">
        <v>2008</v>
      </c>
      <c r="BP158" s="8">
        <v>1629</v>
      </c>
      <c r="BQ158" s="8">
        <v>1560</v>
      </c>
      <c r="BR158" s="8">
        <v>1407</v>
      </c>
      <c r="BS158" s="8">
        <v>1467</v>
      </c>
      <c r="BT158" s="8">
        <v>1487</v>
      </c>
      <c r="BU158" s="8">
        <v>1453</v>
      </c>
      <c r="BV158" s="8">
        <v>1508</v>
      </c>
      <c r="BW158" s="8">
        <v>1766</v>
      </c>
      <c r="BX158" s="8">
        <v>444</v>
      </c>
      <c r="BY158" s="8">
        <v>1078</v>
      </c>
      <c r="BZ158" s="8">
        <v>1897</v>
      </c>
      <c r="CA158" s="8">
        <v>1533</v>
      </c>
      <c r="CB158" s="8">
        <v>1153</v>
      </c>
      <c r="CC158" s="8">
        <v>1853</v>
      </c>
      <c r="CD158" s="8">
        <v>1450</v>
      </c>
      <c r="CE158" s="8">
        <v>1736</v>
      </c>
      <c r="CF158" s="8">
        <v>787</v>
      </c>
      <c r="CG158" s="8">
        <v>1730</v>
      </c>
      <c r="CH158" s="8">
        <v>1821</v>
      </c>
      <c r="CJ158" s="9"/>
      <c r="CK158" s="9"/>
      <c r="CL158" s="9"/>
      <c r="CM158" s="9"/>
      <c r="CN158" s="9"/>
      <c r="CO158" s="9"/>
      <c r="CP158" s="9"/>
      <c r="CQ158" s="9"/>
      <c r="CR158" s="9"/>
      <c r="CS158" s="9"/>
      <c r="CT158" s="9"/>
      <c r="CU158" s="9"/>
      <c r="CV158" s="9"/>
      <c r="CW158" s="9"/>
      <c r="CX158" s="9"/>
      <c r="CY158" s="9"/>
      <c r="CZ158" s="9"/>
      <c r="DA158" s="9"/>
      <c r="DB158" s="9"/>
      <c r="DC158" s="9"/>
      <c r="DD158" s="9"/>
      <c r="DE158" s="9"/>
      <c r="DF158" s="9"/>
      <c r="DG158" s="9"/>
      <c r="DH158" s="9"/>
      <c r="DI158" s="9"/>
      <c r="DJ158" s="9"/>
      <c r="DK158" s="9"/>
      <c r="DL158" s="9"/>
      <c r="DM158" s="9"/>
      <c r="DN158" s="9"/>
      <c r="DO158" s="9"/>
      <c r="DP158" s="9"/>
      <c r="DQ158" s="9"/>
      <c r="DR158" s="9"/>
      <c r="DS158" s="9"/>
      <c r="DT158" s="9"/>
      <c r="DU158" s="9"/>
      <c r="DV158" s="9"/>
      <c r="DW158" s="9"/>
      <c r="DX158" s="9"/>
      <c r="DY158" s="9"/>
      <c r="DZ158" s="9"/>
      <c r="EA158" s="9"/>
      <c r="EB158" s="9"/>
      <c r="EC158" s="9"/>
      <c r="ED158" s="9"/>
      <c r="EE158" s="9"/>
      <c r="EF158" s="9"/>
      <c r="EG158" s="9"/>
      <c r="EH158" s="9"/>
      <c r="EI158" s="9"/>
      <c r="EJ158" s="9"/>
      <c r="EK158" s="9"/>
      <c r="EL158" s="9"/>
      <c r="EM158" s="9"/>
      <c r="EN158" s="9"/>
      <c r="EO158" s="9"/>
      <c r="EP158" s="9"/>
      <c r="EQ158" s="9"/>
      <c r="ER158" s="9"/>
      <c r="ES158" s="9"/>
      <c r="ET158" s="9"/>
      <c r="EU158" s="9"/>
      <c r="EV158" s="9"/>
      <c r="EW158" s="9"/>
      <c r="EX158" s="9"/>
      <c r="EY158" s="9"/>
      <c r="EZ158" s="9"/>
      <c r="FA158" s="9"/>
      <c r="FB158" s="9"/>
      <c r="FC158" s="9"/>
      <c r="FD158" s="9"/>
      <c r="FE158" s="9"/>
      <c r="FF158" s="9"/>
      <c r="FG158" s="9"/>
      <c r="FH158" s="9"/>
      <c r="FI158" s="9"/>
    </row>
    <row r="159" spans="1:165" x14ac:dyDescent="0.2">
      <c r="A159" s="1" t="s">
        <v>1351</v>
      </c>
      <c r="B159" s="1" t="s">
        <v>1352</v>
      </c>
      <c r="C159" s="1" t="s">
        <v>267</v>
      </c>
      <c r="D159" s="1" t="str">
        <f>HYPERLINK("http://eros.fiehnlab.ucdavis.edu:8080/binbase-compound/bin/show/202599?db=rtx5","202599")</f>
        <v>202599</v>
      </c>
      <c r="E159" s="1" t="s">
        <v>1353</v>
      </c>
      <c r="F159" s="1" t="s">
        <v>184</v>
      </c>
      <c r="G159" s="1" t="s">
        <v>184</v>
      </c>
      <c r="H159" s="1"/>
      <c r="I159" s="8">
        <v>2030</v>
      </c>
      <c r="J159" s="8">
        <v>2139</v>
      </c>
      <c r="K159" s="8">
        <v>1719</v>
      </c>
      <c r="L159" s="8">
        <v>1779</v>
      </c>
      <c r="M159" s="8">
        <v>2605</v>
      </c>
      <c r="N159" s="8">
        <v>3356</v>
      </c>
      <c r="O159" s="8">
        <v>1592</v>
      </c>
      <c r="P159" s="8">
        <v>2703</v>
      </c>
      <c r="Q159" s="8">
        <v>2450</v>
      </c>
      <c r="R159" s="8">
        <v>1901</v>
      </c>
      <c r="S159" s="8">
        <v>2822</v>
      </c>
      <c r="T159" s="8">
        <v>3074</v>
      </c>
      <c r="U159" s="8">
        <v>1830</v>
      </c>
      <c r="V159" s="8">
        <v>2407</v>
      </c>
      <c r="W159" s="8">
        <v>2739</v>
      </c>
      <c r="X159" s="8">
        <v>2587</v>
      </c>
      <c r="Y159" s="8">
        <v>2534</v>
      </c>
      <c r="Z159" s="8">
        <v>2544</v>
      </c>
      <c r="AA159" s="8">
        <v>665</v>
      </c>
      <c r="AB159" s="8">
        <v>433</v>
      </c>
      <c r="AC159" s="8">
        <v>310</v>
      </c>
      <c r="AD159" s="8">
        <v>611</v>
      </c>
      <c r="AE159" s="8">
        <v>702</v>
      </c>
      <c r="AF159" s="8">
        <v>667</v>
      </c>
      <c r="AG159" s="8">
        <v>1413</v>
      </c>
      <c r="AH159" s="8">
        <v>2049</v>
      </c>
      <c r="AI159" s="8">
        <v>1083</v>
      </c>
      <c r="AJ159" s="8">
        <v>1582</v>
      </c>
      <c r="AK159" s="8">
        <v>2175</v>
      </c>
      <c r="AL159" s="8">
        <v>2183</v>
      </c>
      <c r="AM159" s="8">
        <v>2361</v>
      </c>
      <c r="AN159" s="8">
        <v>2183</v>
      </c>
      <c r="AO159" s="8">
        <v>1727</v>
      </c>
      <c r="AP159" s="8">
        <v>3101</v>
      </c>
      <c r="AQ159" s="8">
        <v>2377</v>
      </c>
      <c r="AR159" s="8">
        <v>2629</v>
      </c>
      <c r="AS159" s="8">
        <v>2000</v>
      </c>
      <c r="AT159" s="8">
        <v>2227</v>
      </c>
      <c r="AU159" s="8">
        <v>2034</v>
      </c>
      <c r="AV159" s="8">
        <v>2725</v>
      </c>
      <c r="AW159" s="8">
        <v>1707</v>
      </c>
      <c r="AX159" s="8">
        <v>3019</v>
      </c>
      <c r="AY159" s="8">
        <v>189</v>
      </c>
      <c r="AZ159" s="8">
        <v>415</v>
      </c>
      <c r="BA159" s="8">
        <v>447</v>
      </c>
      <c r="BB159" s="8">
        <v>568</v>
      </c>
      <c r="BC159" s="8">
        <v>459</v>
      </c>
      <c r="BD159" s="8">
        <v>638</v>
      </c>
      <c r="BE159" s="8">
        <v>1791</v>
      </c>
      <c r="BF159" s="8">
        <v>2445</v>
      </c>
      <c r="BG159" s="8">
        <v>1794</v>
      </c>
      <c r="BH159" s="8">
        <v>2035</v>
      </c>
      <c r="BI159" s="8">
        <v>2625</v>
      </c>
      <c r="BJ159" s="8">
        <v>1738</v>
      </c>
      <c r="BK159" s="8">
        <v>2188</v>
      </c>
      <c r="BL159" s="8">
        <v>1833</v>
      </c>
      <c r="BM159" s="8">
        <v>2126</v>
      </c>
      <c r="BN159" s="8">
        <v>2673</v>
      </c>
      <c r="BO159" s="8">
        <v>2275</v>
      </c>
      <c r="BP159" s="8">
        <v>2043</v>
      </c>
      <c r="BQ159" s="8">
        <v>1647</v>
      </c>
      <c r="BR159" s="8">
        <v>2102</v>
      </c>
      <c r="BS159" s="8">
        <v>2260</v>
      </c>
      <c r="BT159" s="8">
        <v>2429</v>
      </c>
      <c r="BU159" s="8">
        <v>2716</v>
      </c>
      <c r="BV159" s="8">
        <v>2467</v>
      </c>
      <c r="BW159" s="8">
        <v>434</v>
      </c>
      <c r="BX159" s="8">
        <v>414</v>
      </c>
      <c r="BY159" s="8">
        <v>460</v>
      </c>
      <c r="BZ159" s="8">
        <v>957</v>
      </c>
      <c r="CA159" s="8">
        <v>456</v>
      </c>
      <c r="CB159" s="8">
        <v>286</v>
      </c>
      <c r="CC159" s="8">
        <v>1668</v>
      </c>
      <c r="CD159" s="8">
        <v>1664</v>
      </c>
      <c r="CE159" s="8">
        <v>2084</v>
      </c>
      <c r="CF159" s="8">
        <v>1759</v>
      </c>
      <c r="CG159" s="8">
        <v>2691</v>
      </c>
      <c r="CH159" s="8">
        <v>1904</v>
      </c>
      <c r="CJ159" s="9"/>
      <c r="CK159" s="9"/>
      <c r="CL159" s="9"/>
      <c r="CM159" s="9"/>
      <c r="CN159" s="9"/>
      <c r="CO159" s="9"/>
      <c r="CP159" s="9"/>
      <c r="CQ159" s="9"/>
      <c r="CR159" s="9"/>
      <c r="CS159" s="9"/>
      <c r="CT159" s="9"/>
      <c r="CU159" s="9"/>
      <c r="CV159" s="9"/>
      <c r="CW159" s="9"/>
      <c r="CX159" s="9"/>
      <c r="CY159" s="9"/>
      <c r="CZ159" s="9"/>
      <c r="DA159" s="9"/>
      <c r="DB159" s="9"/>
      <c r="DC159" s="9"/>
      <c r="DD159" s="9"/>
      <c r="DE159" s="9"/>
      <c r="DF159" s="9"/>
      <c r="DG159" s="9"/>
      <c r="DH159" s="9"/>
      <c r="DI159" s="9"/>
      <c r="DJ159" s="9"/>
      <c r="DK159" s="9"/>
      <c r="DL159" s="9"/>
      <c r="DM159" s="9"/>
      <c r="DN159" s="9"/>
      <c r="DO159" s="9"/>
      <c r="DP159" s="9"/>
      <c r="DQ159" s="9"/>
      <c r="DR159" s="9"/>
      <c r="DS159" s="9"/>
      <c r="DT159" s="9"/>
      <c r="DU159" s="9"/>
      <c r="DV159" s="9"/>
      <c r="DW159" s="9"/>
      <c r="DX159" s="9"/>
      <c r="DY159" s="9"/>
      <c r="DZ159" s="9"/>
      <c r="EA159" s="9"/>
      <c r="EB159" s="9"/>
      <c r="EC159" s="9"/>
      <c r="ED159" s="9"/>
      <c r="EE159" s="9"/>
      <c r="EF159" s="9"/>
      <c r="EG159" s="9"/>
      <c r="EH159" s="9"/>
      <c r="EI159" s="9"/>
      <c r="EJ159" s="9"/>
      <c r="EK159" s="9"/>
      <c r="EL159" s="9"/>
      <c r="EM159" s="9"/>
      <c r="EN159" s="9"/>
      <c r="EO159" s="9"/>
      <c r="EP159" s="9"/>
      <c r="EQ159" s="9"/>
      <c r="ER159" s="9"/>
      <c r="ES159" s="9"/>
      <c r="ET159" s="9"/>
      <c r="EU159" s="9"/>
      <c r="EV159" s="9"/>
      <c r="EW159" s="9"/>
      <c r="EX159" s="9"/>
      <c r="EY159" s="9"/>
      <c r="EZ159" s="9"/>
      <c r="FA159" s="9"/>
      <c r="FB159" s="9"/>
      <c r="FC159" s="9"/>
      <c r="FD159" s="9"/>
      <c r="FE159" s="9"/>
      <c r="FF159" s="9"/>
      <c r="FG159" s="9"/>
      <c r="FH159" s="9"/>
      <c r="FI159" s="9"/>
    </row>
    <row r="160" spans="1:165" x14ac:dyDescent="0.2">
      <c r="A160" s="1" t="s">
        <v>1245</v>
      </c>
      <c r="B160" s="1" t="s">
        <v>1246</v>
      </c>
      <c r="C160" s="1" t="s">
        <v>294</v>
      </c>
      <c r="D160" s="1" t="str">
        <f>HYPERLINK("http://eros.fiehnlab.ucdavis.edu:8080/binbase-compound/bin/show/218821?db=rtx5","218821")</f>
        <v>218821</v>
      </c>
      <c r="E160" s="1" t="s">
        <v>1247</v>
      </c>
      <c r="F160" s="1" t="s">
        <v>184</v>
      </c>
      <c r="G160" s="1" t="s">
        <v>184</v>
      </c>
      <c r="H160" s="1"/>
      <c r="I160" s="8">
        <v>747</v>
      </c>
      <c r="J160" s="8">
        <v>729</v>
      </c>
      <c r="K160" s="8">
        <v>576</v>
      </c>
      <c r="L160" s="8">
        <v>875</v>
      </c>
      <c r="M160" s="8">
        <v>661</v>
      </c>
      <c r="N160" s="8">
        <v>1099</v>
      </c>
      <c r="O160" s="8">
        <v>248</v>
      </c>
      <c r="P160" s="8">
        <v>429</v>
      </c>
      <c r="Q160" s="8">
        <v>287</v>
      </c>
      <c r="R160" s="8">
        <v>325</v>
      </c>
      <c r="S160" s="8">
        <v>404</v>
      </c>
      <c r="T160" s="8">
        <v>277</v>
      </c>
      <c r="U160" s="8">
        <v>339</v>
      </c>
      <c r="V160" s="8">
        <v>273</v>
      </c>
      <c r="W160" s="8">
        <v>316</v>
      </c>
      <c r="X160" s="8">
        <v>332</v>
      </c>
      <c r="Y160" s="8">
        <v>234</v>
      </c>
      <c r="Z160" s="8">
        <v>275</v>
      </c>
      <c r="AA160" s="8">
        <v>274</v>
      </c>
      <c r="AB160" s="8">
        <v>338</v>
      </c>
      <c r="AC160" s="8">
        <v>548</v>
      </c>
      <c r="AD160" s="8">
        <v>515</v>
      </c>
      <c r="AE160" s="8">
        <v>622</v>
      </c>
      <c r="AF160" s="8">
        <v>277</v>
      </c>
      <c r="AG160" s="8">
        <v>259</v>
      </c>
      <c r="AH160" s="8">
        <v>324</v>
      </c>
      <c r="AI160" s="8">
        <v>426</v>
      </c>
      <c r="AJ160" s="8">
        <v>398</v>
      </c>
      <c r="AK160" s="8">
        <v>275</v>
      </c>
      <c r="AL160" s="8">
        <v>391</v>
      </c>
      <c r="AM160" s="8">
        <v>620</v>
      </c>
      <c r="AN160" s="8">
        <v>398</v>
      </c>
      <c r="AO160" s="8">
        <v>381</v>
      </c>
      <c r="AP160" s="8">
        <v>483</v>
      </c>
      <c r="AQ160" s="8">
        <v>520</v>
      </c>
      <c r="AR160" s="8">
        <v>506</v>
      </c>
      <c r="AS160" s="8">
        <v>766</v>
      </c>
      <c r="AT160" s="8">
        <v>308</v>
      </c>
      <c r="AU160" s="8">
        <v>382</v>
      </c>
      <c r="AV160" s="8">
        <v>515</v>
      </c>
      <c r="AW160" s="8">
        <v>413</v>
      </c>
      <c r="AX160" s="8">
        <v>213</v>
      </c>
      <c r="AY160" s="8">
        <v>555</v>
      </c>
      <c r="AZ160" s="8">
        <v>409</v>
      </c>
      <c r="BA160" s="8">
        <v>554</v>
      </c>
      <c r="BB160" s="8">
        <v>507</v>
      </c>
      <c r="BC160" s="8">
        <v>453</v>
      </c>
      <c r="BD160" s="8">
        <v>646</v>
      </c>
      <c r="BE160" s="8">
        <v>614</v>
      </c>
      <c r="BF160" s="8">
        <v>450</v>
      </c>
      <c r="BG160" s="8">
        <v>309</v>
      </c>
      <c r="BH160" s="8">
        <v>360</v>
      </c>
      <c r="BI160" s="8">
        <v>297</v>
      </c>
      <c r="BJ160" s="8">
        <v>408</v>
      </c>
      <c r="BK160" s="8">
        <v>288</v>
      </c>
      <c r="BL160" s="8">
        <v>605</v>
      </c>
      <c r="BM160" s="8">
        <v>769</v>
      </c>
      <c r="BN160" s="8">
        <v>251</v>
      </c>
      <c r="BO160" s="8">
        <v>599</v>
      </c>
      <c r="BP160" s="8">
        <v>254</v>
      </c>
      <c r="BQ160" s="8">
        <v>377</v>
      </c>
      <c r="BR160" s="8">
        <v>508</v>
      </c>
      <c r="BS160" s="8">
        <v>288</v>
      </c>
      <c r="BT160" s="8">
        <v>452</v>
      </c>
      <c r="BU160" s="8">
        <v>435</v>
      </c>
      <c r="BV160" s="8">
        <v>245</v>
      </c>
      <c r="BW160" s="8">
        <v>503</v>
      </c>
      <c r="BX160" s="8">
        <v>399</v>
      </c>
      <c r="BY160" s="8">
        <v>407</v>
      </c>
      <c r="BZ160" s="8">
        <v>295</v>
      </c>
      <c r="CA160" s="8">
        <v>159</v>
      </c>
      <c r="CB160" s="8">
        <v>285</v>
      </c>
      <c r="CC160" s="8">
        <v>179</v>
      </c>
      <c r="CD160" s="8">
        <v>461</v>
      </c>
      <c r="CE160" s="8">
        <v>435</v>
      </c>
      <c r="CF160" s="8">
        <v>258</v>
      </c>
      <c r="CG160" s="8">
        <v>272</v>
      </c>
      <c r="CH160" s="8">
        <v>249</v>
      </c>
      <c r="CJ160" s="9"/>
      <c r="CK160" s="9"/>
      <c r="CL160" s="9"/>
      <c r="CM160" s="9"/>
      <c r="CN160" s="9"/>
      <c r="CO160" s="9"/>
      <c r="CP160" s="9"/>
      <c r="CQ160" s="9"/>
      <c r="CR160" s="9"/>
      <c r="CS160" s="9"/>
      <c r="CT160" s="9"/>
      <c r="CU160" s="9"/>
      <c r="CV160" s="9"/>
      <c r="CW160" s="9"/>
      <c r="CX160" s="9"/>
      <c r="CY160" s="9"/>
      <c r="CZ160" s="9"/>
      <c r="DA160" s="9"/>
      <c r="DB160" s="9"/>
      <c r="DC160" s="9"/>
      <c r="DD160" s="9"/>
      <c r="DE160" s="9"/>
      <c r="DF160" s="9"/>
      <c r="DG160" s="9"/>
      <c r="DH160" s="9"/>
      <c r="DI160" s="9"/>
      <c r="DJ160" s="9"/>
      <c r="DK160" s="9"/>
      <c r="DL160" s="9"/>
      <c r="DM160" s="9"/>
      <c r="DN160" s="9"/>
      <c r="DO160" s="9"/>
      <c r="DP160" s="9"/>
      <c r="DQ160" s="9"/>
      <c r="DR160" s="9"/>
      <c r="DS160" s="9"/>
      <c r="DT160" s="9"/>
      <c r="DU160" s="9"/>
      <c r="DV160" s="9"/>
      <c r="DW160" s="9"/>
      <c r="DX160" s="9"/>
      <c r="DY160" s="9"/>
      <c r="DZ160" s="9"/>
      <c r="EA160" s="9"/>
      <c r="EB160" s="9"/>
      <c r="EC160" s="9"/>
      <c r="ED160" s="9"/>
      <c r="EE160" s="9"/>
      <c r="EF160" s="9"/>
      <c r="EG160" s="9"/>
      <c r="EH160" s="9"/>
      <c r="EI160" s="9"/>
      <c r="EJ160" s="9"/>
      <c r="EK160" s="9"/>
      <c r="EL160" s="9"/>
      <c r="EM160" s="9"/>
      <c r="EN160" s="9"/>
      <c r="EO160" s="9"/>
      <c r="EP160" s="9"/>
      <c r="EQ160" s="9"/>
      <c r="ER160" s="9"/>
      <c r="ES160" s="9"/>
      <c r="ET160" s="9"/>
      <c r="EU160" s="9"/>
      <c r="EV160" s="9"/>
      <c r="EW160" s="9"/>
      <c r="EX160" s="9"/>
      <c r="EY160" s="9"/>
      <c r="EZ160" s="9"/>
      <c r="FA160" s="9"/>
      <c r="FB160" s="9"/>
      <c r="FC160" s="9"/>
      <c r="FD160" s="9"/>
      <c r="FE160" s="9"/>
      <c r="FF160" s="9"/>
      <c r="FG160" s="9"/>
      <c r="FH160" s="9"/>
      <c r="FI160" s="9"/>
    </row>
    <row r="161" spans="1:165" x14ac:dyDescent="0.2">
      <c r="A161" s="1" t="s">
        <v>1196</v>
      </c>
      <c r="B161" s="1" t="s">
        <v>1197</v>
      </c>
      <c r="C161" s="1" t="s">
        <v>1198</v>
      </c>
      <c r="D161" s="1" t="str">
        <f>HYPERLINK("http://eros.fiehnlab.ucdavis.edu:8080/binbase-compound/bin/show/224849?db=rtx5","224849")</f>
        <v>224849</v>
      </c>
      <c r="E161" s="1" t="s">
        <v>1199</v>
      </c>
      <c r="F161" s="1" t="s">
        <v>184</v>
      </c>
      <c r="G161" s="1" t="s">
        <v>184</v>
      </c>
      <c r="H161" s="1"/>
      <c r="I161" s="8">
        <v>222</v>
      </c>
      <c r="J161" s="8">
        <v>143</v>
      </c>
      <c r="K161" s="8">
        <v>386</v>
      </c>
      <c r="L161" s="8">
        <v>170</v>
      </c>
      <c r="M161" s="8">
        <v>350</v>
      </c>
      <c r="N161" s="8">
        <v>353</v>
      </c>
      <c r="O161" s="8">
        <v>130</v>
      </c>
      <c r="P161" s="8">
        <v>301</v>
      </c>
      <c r="Q161" s="8">
        <v>418</v>
      </c>
      <c r="R161" s="8">
        <v>344</v>
      </c>
      <c r="S161" s="8">
        <v>454</v>
      </c>
      <c r="T161" s="8">
        <v>328</v>
      </c>
      <c r="U161" s="8">
        <v>366</v>
      </c>
      <c r="V161" s="8">
        <v>181</v>
      </c>
      <c r="W161" s="8">
        <v>332</v>
      </c>
      <c r="X161" s="8">
        <v>436</v>
      </c>
      <c r="Y161" s="8">
        <v>310</v>
      </c>
      <c r="Z161" s="8">
        <v>415</v>
      </c>
      <c r="AA161" s="8">
        <v>124</v>
      </c>
      <c r="AB161" s="8">
        <v>256</v>
      </c>
      <c r="AC161" s="8">
        <v>247</v>
      </c>
      <c r="AD161" s="8">
        <v>201</v>
      </c>
      <c r="AE161" s="8">
        <v>524</v>
      </c>
      <c r="AF161" s="8">
        <v>238</v>
      </c>
      <c r="AG161" s="8">
        <v>259</v>
      </c>
      <c r="AH161" s="8">
        <v>182</v>
      </c>
      <c r="AI161" s="8">
        <v>289</v>
      </c>
      <c r="AJ161" s="8">
        <v>469</v>
      </c>
      <c r="AK161" s="8">
        <v>390</v>
      </c>
      <c r="AL161" s="8">
        <v>660</v>
      </c>
      <c r="AM161" s="8">
        <v>291</v>
      </c>
      <c r="AN161" s="8">
        <v>209</v>
      </c>
      <c r="AO161" s="8">
        <v>306</v>
      </c>
      <c r="AP161" s="8">
        <v>552</v>
      </c>
      <c r="AQ161" s="8">
        <v>482</v>
      </c>
      <c r="AR161" s="8">
        <v>395</v>
      </c>
      <c r="AS161" s="8">
        <v>221</v>
      </c>
      <c r="AT161" s="8">
        <v>184</v>
      </c>
      <c r="AU161" s="8">
        <v>224</v>
      </c>
      <c r="AV161" s="8">
        <v>353</v>
      </c>
      <c r="AW161" s="8">
        <v>507</v>
      </c>
      <c r="AX161" s="8">
        <v>336</v>
      </c>
      <c r="AY161" s="8">
        <v>248</v>
      </c>
      <c r="AZ161" s="8">
        <v>535</v>
      </c>
      <c r="BA161" s="8">
        <v>486</v>
      </c>
      <c r="BB161" s="8">
        <v>495</v>
      </c>
      <c r="BC161" s="8">
        <v>449</v>
      </c>
      <c r="BD161" s="8">
        <v>464</v>
      </c>
      <c r="BE161" s="8">
        <v>249</v>
      </c>
      <c r="BF161" s="8">
        <v>176</v>
      </c>
      <c r="BG161" s="8">
        <v>288</v>
      </c>
      <c r="BH161" s="8">
        <v>153</v>
      </c>
      <c r="BI161" s="8">
        <v>329</v>
      </c>
      <c r="BJ161" s="8">
        <v>336</v>
      </c>
      <c r="BK161" s="8">
        <v>255</v>
      </c>
      <c r="BL161" s="8">
        <v>372</v>
      </c>
      <c r="BM161" s="8">
        <v>297</v>
      </c>
      <c r="BN161" s="8">
        <v>244</v>
      </c>
      <c r="BO161" s="8">
        <v>469</v>
      </c>
      <c r="BP161" s="8">
        <v>472</v>
      </c>
      <c r="BQ161" s="8">
        <v>330</v>
      </c>
      <c r="BR161" s="8">
        <v>208</v>
      </c>
      <c r="BS161" s="8">
        <v>187</v>
      </c>
      <c r="BT161" s="8">
        <v>444</v>
      </c>
      <c r="BU161" s="8">
        <v>324</v>
      </c>
      <c r="BV161" s="8">
        <v>402</v>
      </c>
      <c r="BW161" s="8">
        <v>286</v>
      </c>
      <c r="BX161" s="8">
        <v>377</v>
      </c>
      <c r="BY161" s="8">
        <v>187</v>
      </c>
      <c r="BZ161" s="8">
        <v>605</v>
      </c>
      <c r="CA161" s="8">
        <v>481</v>
      </c>
      <c r="CB161" s="8">
        <v>367</v>
      </c>
      <c r="CC161" s="8">
        <v>302</v>
      </c>
      <c r="CD161" s="8">
        <v>188</v>
      </c>
      <c r="CE161" s="8">
        <v>203</v>
      </c>
      <c r="CF161" s="8">
        <v>169</v>
      </c>
      <c r="CG161" s="8">
        <v>426</v>
      </c>
      <c r="CH161" s="8">
        <v>400</v>
      </c>
      <c r="CJ161" s="9"/>
      <c r="CK161" s="9"/>
      <c r="CL161" s="9"/>
      <c r="CM161" s="9"/>
      <c r="CN161" s="9"/>
      <c r="CO161" s="9"/>
      <c r="CP161" s="9"/>
      <c r="CQ161" s="9"/>
      <c r="CR161" s="9"/>
      <c r="CS161" s="9"/>
      <c r="CT161" s="9"/>
      <c r="CU161" s="9"/>
      <c r="CV161" s="9"/>
      <c r="CW161" s="9"/>
      <c r="CX161" s="9"/>
      <c r="CY161" s="9"/>
      <c r="CZ161" s="9"/>
      <c r="DA161" s="9"/>
      <c r="DB161" s="9"/>
      <c r="DC161" s="9"/>
      <c r="DD161" s="9"/>
      <c r="DE161" s="9"/>
      <c r="DF161" s="9"/>
      <c r="DG161" s="9"/>
      <c r="DH161" s="9"/>
      <c r="DI161" s="9"/>
      <c r="DJ161" s="9"/>
      <c r="DK161" s="9"/>
      <c r="DL161" s="9"/>
      <c r="DM161" s="9"/>
      <c r="DN161" s="9"/>
      <c r="DO161" s="9"/>
      <c r="DP161" s="9"/>
      <c r="DQ161" s="9"/>
      <c r="DR161" s="9"/>
      <c r="DS161" s="9"/>
      <c r="DT161" s="9"/>
      <c r="DU161" s="9"/>
      <c r="DV161" s="9"/>
      <c r="DW161" s="9"/>
      <c r="DX161" s="9"/>
      <c r="DY161" s="9"/>
      <c r="DZ161" s="9"/>
      <c r="EA161" s="9"/>
      <c r="EB161" s="9"/>
      <c r="EC161" s="9"/>
      <c r="ED161" s="9"/>
      <c r="EE161" s="9"/>
      <c r="EF161" s="9"/>
      <c r="EG161" s="9"/>
      <c r="EH161" s="9"/>
      <c r="EI161" s="9"/>
      <c r="EJ161" s="9"/>
      <c r="EK161" s="9"/>
      <c r="EL161" s="9"/>
      <c r="EM161" s="9"/>
      <c r="EN161" s="9"/>
      <c r="EO161" s="9"/>
      <c r="EP161" s="9"/>
      <c r="EQ161" s="9"/>
      <c r="ER161" s="9"/>
      <c r="ES161" s="9"/>
      <c r="ET161" s="9"/>
      <c r="EU161" s="9"/>
      <c r="EV161" s="9"/>
      <c r="EW161" s="9"/>
      <c r="EX161" s="9"/>
      <c r="EY161" s="9"/>
      <c r="EZ161" s="9"/>
      <c r="FA161" s="9"/>
      <c r="FB161" s="9"/>
      <c r="FC161" s="9"/>
      <c r="FD161" s="9"/>
      <c r="FE161" s="9"/>
      <c r="FF161" s="9"/>
      <c r="FG161" s="9"/>
      <c r="FH161" s="9"/>
      <c r="FI161" s="9"/>
    </row>
    <row r="162" spans="1:165" x14ac:dyDescent="0.2">
      <c r="A162" s="1" t="s">
        <v>721</v>
      </c>
      <c r="B162" s="1" t="s">
        <v>722</v>
      </c>
      <c r="C162" s="1" t="s">
        <v>723</v>
      </c>
      <c r="D162" s="1" t="str">
        <f>HYPERLINK("http://eros.fiehnlab.ucdavis.edu:8080/binbase-compound/bin/show/369638?db=rtx5","369638")</f>
        <v>369638</v>
      </c>
      <c r="E162" s="1" t="s">
        <v>724</v>
      </c>
      <c r="F162" s="1" t="s">
        <v>184</v>
      </c>
      <c r="G162" s="1" t="s">
        <v>184</v>
      </c>
      <c r="H162" s="1"/>
      <c r="I162" s="8">
        <v>933</v>
      </c>
      <c r="J162" s="8">
        <v>516</v>
      </c>
      <c r="K162" s="8">
        <v>810</v>
      </c>
      <c r="L162" s="8">
        <v>771</v>
      </c>
      <c r="M162" s="8">
        <v>704</v>
      </c>
      <c r="N162" s="8">
        <v>754</v>
      </c>
      <c r="O162" s="8">
        <v>468</v>
      </c>
      <c r="P162" s="8">
        <v>493</v>
      </c>
      <c r="Q162" s="8">
        <v>276</v>
      </c>
      <c r="R162" s="8">
        <v>297</v>
      </c>
      <c r="S162" s="8">
        <v>433</v>
      </c>
      <c r="T162" s="8">
        <v>399</v>
      </c>
      <c r="U162" s="8">
        <v>1184</v>
      </c>
      <c r="V162" s="8">
        <v>667</v>
      </c>
      <c r="W162" s="8">
        <v>1156</v>
      </c>
      <c r="X162" s="8">
        <v>156</v>
      </c>
      <c r="Y162" s="8">
        <v>1061</v>
      </c>
      <c r="Z162" s="8">
        <v>695</v>
      </c>
      <c r="AA162" s="8">
        <v>1843</v>
      </c>
      <c r="AB162" s="8">
        <v>2436</v>
      </c>
      <c r="AC162" s="8">
        <v>2139</v>
      </c>
      <c r="AD162" s="8">
        <v>1477</v>
      </c>
      <c r="AE162" s="8">
        <v>1022</v>
      </c>
      <c r="AF162" s="8">
        <v>1752</v>
      </c>
      <c r="AG162" s="8">
        <v>1258</v>
      </c>
      <c r="AH162" s="8">
        <v>1384</v>
      </c>
      <c r="AI162" s="8">
        <v>1148</v>
      </c>
      <c r="AJ162" s="8">
        <v>828</v>
      </c>
      <c r="AK162" s="8">
        <v>536</v>
      </c>
      <c r="AL162" s="8">
        <v>262</v>
      </c>
      <c r="AM162" s="8">
        <v>658</v>
      </c>
      <c r="AN162" s="8">
        <v>434</v>
      </c>
      <c r="AO162" s="8">
        <v>881</v>
      </c>
      <c r="AP162" s="8">
        <v>523</v>
      </c>
      <c r="AQ162" s="8">
        <v>443</v>
      </c>
      <c r="AR162" s="8">
        <v>392</v>
      </c>
      <c r="AS162" s="8">
        <v>1127</v>
      </c>
      <c r="AT162" s="8">
        <v>1492</v>
      </c>
      <c r="AU162" s="8">
        <v>1234</v>
      </c>
      <c r="AV162" s="8">
        <v>1077</v>
      </c>
      <c r="AW162" s="8">
        <v>202</v>
      </c>
      <c r="AX162" s="8">
        <v>531</v>
      </c>
      <c r="AY162" s="8">
        <v>991</v>
      </c>
      <c r="AZ162" s="8">
        <v>953</v>
      </c>
      <c r="BA162" s="8">
        <v>557</v>
      </c>
      <c r="BB162" s="8">
        <v>880</v>
      </c>
      <c r="BC162" s="8">
        <v>1464</v>
      </c>
      <c r="BD162" s="8">
        <v>792</v>
      </c>
      <c r="BE162" s="8">
        <v>1184</v>
      </c>
      <c r="BF162" s="8">
        <v>1452</v>
      </c>
      <c r="BG162" s="8">
        <v>1316</v>
      </c>
      <c r="BH162" s="8">
        <v>1143</v>
      </c>
      <c r="BI162" s="8">
        <v>482</v>
      </c>
      <c r="BJ162" s="8">
        <v>951</v>
      </c>
      <c r="BK162" s="8">
        <v>642</v>
      </c>
      <c r="BL162" s="8">
        <v>834</v>
      </c>
      <c r="BM162" s="8">
        <v>910</v>
      </c>
      <c r="BN162" s="8">
        <v>3705</v>
      </c>
      <c r="BO162" s="8">
        <v>1005</v>
      </c>
      <c r="BP162" s="8">
        <v>763</v>
      </c>
      <c r="BQ162" s="8">
        <v>2108</v>
      </c>
      <c r="BR162" s="8">
        <v>965</v>
      </c>
      <c r="BS162" s="8">
        <v>1042</v>
      </c>
      <c r="BT162" s="8">
        <v>908</v>
      </c>
      <c r="BU162" s="8">
        <v>1022</v>
      </c>
      <c r="BV162" s="8">
        <v>1043</v>
      </c>
      <c r="BW162" s="8">
        <v>2276</v>
      </c>
      <c r="BX162" s="8">
        <v>1552</v>
      </c>
      <c r="BY162" s="8">
        <v>1726</v>
      </c>
      <c r="BZ162" s="8">
        <v>1503</v>
      </c>
      <c r="CA162" s="8">
        <v>994</v>
      </c>
      <c r="CB162" s="8">
        <v>943</v>
      </c>
      <c r="CC162" s="8">
        <v>1559</v>
      </c>
      <c r="CD162" s="8">
        <v>1776</v>
      </c>
      <c r="CE162" s="8">
        <v>1081</v>
      </c>
      <c r="CF162" s="8">
        <v>458</v>
      </c>
      <c r="CG162" s="8">
        <v>735</v>
      </c>
      <c r="CH162" s="8">
        <v>300</v>
      </c>
      <c r="CJ162" s="9"/>
      <c r="CK162" s="9"/>
      <c r="CL162" s="9"/>
      <c r="CM162" s="9"/>
      <c r="CN162" s="9"/>
      <c r="CO162" s="9"/>
      <c r="CP162" s="9"/>
      <c r="CQ162" s="9"/>
      <c r="CR162" s="9"/>
      <c r="CS162" s="9"/>
      <c r="CT162" s="9"/>
      <c r="CU162" s="9"/>
      <c r="CV162" s="9"/>
      <c r="CW162" s="9"/>
      <c r="CX162" s="9"/>
      <c r="CY162" s="9"/>
      <c r="CZ162" s="9"/>
      <c r="DA162" s="9"/>
      <c r="DB162" s="9"/>
      <c r="DC162" s="9"/>
      <c r="DD162" s="9"/>
      <c r="DE162" s="9"/>
      <c r="DF162" s="9"/>
      <c r="DG162" s="9"/>
      <c r="DH162" s="9"/>
      <c r="DI162" s="9"/>
      <c r="DJ162" s="9"/>
      <c r="DK162" s="9"/>
      <c r="DL162" s="9"/>
      <c r="DM162" s="9"/>
      <c r="DN162" s="9"/>
      <c r="DO162" s="9"/>
      <c r="DP162" s="9"/>
      <c r="DQ162" s="9"/>
      <c r="DR162" s="9"/>
      <c r="DS162" s="9"/>
      <c r="DT162" s="9"/>
      <c r="DU162" s="9"/>
      <c r="DV162" s="9"/>
      <c r="DW162" s="9"/>
      <c r="DX162" s="9"/>
      <c r="DY162" s="9"/>
      <c r="DZ162" s="9"/>
      <c r="EA162" s="9"/>
      <c r="EB162" s="9"/>
      <c r="EC162" s="9"/>
      <c r="ED162" s="9"/>
      <c r="EE162" s="9"/>
      <c r="EF162" s="9"/>
      <c r="EG162" s="9"/>
      <c r="EH162" s="9"/>
      <c r="EI162" s="9"/>
      <c r="EJ162" s="9"/>
      <c r="EK162" s="9"/>
      <c r="EL162" s="9"/>
      <c r="EM162" s="9"/>
      <c r="EN162" s="9"/>
      <c r="EO162" s="9"/>
      <c r="EP162" s="9"/>
      <c r="EQ162" s="9"/>
      <c r="ER162" s="9"/>
      <c r="ES162" s="9"/>
      <c r="ET162" s="9"/>
      <c r="EU162" s="9"/>
      <c r="EV162" s="9"/>
      <c r="EW162" s="9"/>
      <c r="EX162" s="9"/>
      <c r="EY162" s="9"/>
      <c r="EZ162" s="9"/>
      <c r="FA162" s="9"/>
      <c r="FB162" s="9"/>
      <c r="FC162" s="9"/>
      <c r="FD162" s="9"/>
      <c r="FE162" s="9"/>
      <c r="FF162" s="9"/>
      <c r="FG162" s="9"/>
      <c r="FH162" s="9"/>
      <c r="FI162" s="9"/>
    </row>
    <row r="163" spans="1:165" x14ac:dyDescent="0.2">
      <c r="A163" s="1" t="s">
        <v>780</v>
      </c>
      <c r="B163" s="1" t="s">
        <v>781</v>
      </c>
      <c r="C163" s="1" t="s">
        <v>427</v>
      </c>
      <c r="D163" s="1" t="str">
        <f>HYPERLINK("http://eros.fiehnlab.ucdavis.edu:8080/binbase-compound/bin/show/362059?db=rtx5","362059")</f>
        <v>362059</v>
      </c>
      <c r="E163" s="1" t="s">
        <v>782</v>
      </c>
      <c r="F163" s="1" t="s">
        <v>184</v>
      </c>
      <c r="G163" s="1" t="s">
        <v>184</v>
      </c>
      <c r="H163" s="1"/>
      <c r="I163" s="8">
        <v>16154</v>
      </c>
      <c r="J163" s="8">
        <v>11399</v>
      </c>
      <c r="K163" s="8">
        <v>14997</v>
      </c>
      <c r="L163" s="8">
        <v>14704</v>
      </c>
      <c r="M163" s="8">
        <v>22675</v>
      </c>
      <c r="N163" s="8">
        <v>21149</v>
      </c>
      <c r="O163" s="8">
        <v>10321</v>
      </c>
      <c r="P163" s="8">
        <v>11869</v>
      </c>
      <c r="Q163" s="8">
        <v>18687</v>
      </c>
      <c r="R163" s="8">
        <v>26097</v>
      </c>
      <c r="S163" s="8">
        <v>26596</v>
      </c>
      <c r="T163" s="8">
        <v>11458</v>
      </c>
      <c r="U163" s="8">
        <v>21198</v>
      </c>
      <c r="V163" s="8">
        <v>22433</v>
      </c>
      <c r="W163" s="8">
        <v>23079</v>
      </c>
      <c r="X163" s="8">
        <v>18215</v>
      </c>
      <c r="Y163" s="8">
        <v>14507</v>
      </c>
      <c r="Z163" s="8">
        <v>24125</v>
      </c>
      <c r="AA163" s="8">
        <v>8859</v>
      </c>
      <c r="AB163" s="8">
        <v>9881</v>
      </c>
      <c r="AC163" s="8">
        <v>15415</v>
      </c>
      <c r="AD163" s="8">
        <v>11034</v>
      </c>
      <c r="AE163" s="8">
        <v>16238</v>
      </c>
      <c r="AF163" s="8">
        <v>18186</v>
      </c>
      <c r="AG163" s="8">
        <v>11848</v>
      </c>
      <c r="AH163" s="8">
        <v>20926</v>
      </c>
      <c r="AI163" s="8">
        <v>14010</v>
      </c>
      <c r="AJ163" s="8">
        <v>17213</v>
      </c>
      <c r="AK163" s="8">
        <v>18814</v>
      </c>
      <c r="AL163" s="8">
        <v>21001</v>
      </c>
      <c r="AM163" s="8">
        <v>14508</v>
      </c>
      <c r="AN163" s="8">
        <v>22000</v>
      </c>
      <c r="AO163" s="8">
        <v>11685</v>
      </c>
      <c r="AP163" s="8">
        <v>18677</v>
      </c>
      <c r="AQ163" s="8">
        <v>16025</v>
      </c>
      <c r="AR163" s="8">
        <v>17283</v>
      </c>
      <c r="AS163" s="8">
        <v>15574</v>
      </c>
      <c r="AT163" s="8">
        <v>20668</v>
      </c>
      <c r="AU163" s="8">
        <v>13367</v>
      </c>
      <c r="AV163" s="8">
        <v>11833</v>
      </c>
      <c r="AW163" s="8">
        <v>28372</v>
      </c>
      <c r="AX163" s="8">
        <v>17375</v>
      </c>
      <c r="AY163" s="8">
        <v>9880</v>
      </c>
      <c r="AZ163" s="8">
        <v>16374</v>
      </c>
      <c r="BA163" s="8">
        <v>14870</v>
      </c>
      <c r="BB163" s="8">
        <v>15238</v>
      </c>
      <c r="BC163" s="8">
        <v>14164</v>
      </c>
      <c r="BD163" s="8">
        <v>16750</v>
      </c>
      <c r="BE163" s="8">
        <v>21886</v>
      </c>
      <c r="BF163" s="8">
        <v>22392</v>
      </c>
      <c r="BG163" s="8">
        <v>12331</v>
      </c>
      <c r="BH163" s="8">
        <v>12607</v>
      </c>
      <c r="BI163" s="8">
        <v>24495</v>
      </c>
      <c r="BJ163" s="8">
        <v>22121</v>
      </c>
      <c r="BK163" s="8">
        <v>19832</v>
      </c>
      <c r="BL163" s="8">
        <v>13723</v>
      </c>
      <c r="BM163" s="8">
        <v>13142</v>
      </c>
      <c r="BN163" s="8">
        <v>17127</v>
      </c>
      <c r="BO163" s="8">
        <v>21551</v>
      </c>
      <c r="BP163" s="8">
        <v>28404</v>
      </c>
      <c r="BQ163" s="8">
        <v>24408</v>
      </c>
      <c r="BR163" s="8">
        <v>18691</v>
      </c>
      <c r="BS163" s="8">
        <v>21675</v>
      </c>
      <c r="BT163" s="8">
        <v>21358</v>
      </c>
      <c r="BU163" s="8">
        <v>18162</v>
      </c>
      <c r="BV163" s="8">
        <v>25288</v>
      </c>
      <c r="BW163" s="8">
        <v>15082</v>
      </c>
      <c r="BX163" s="8">
        <v>12717</v>
      </c>
      <c r="BY163" s="8">
        <v>13304</v>
      </c>
      <c r="BZ163" s="8">
        <v>16529</v>
      </c>
      <c r="CA163" s="8">
        <v>18245</v>
      </c>
      <c r="CB163" s="8">
        <v>20420</v>
      </c>
      <c r="CC163" s="8">
        <v>27583</v>
      </c>
      <c r="CD163" s="8">
        <v>25127</v>
      </c>
      <c r="CE163" s="8">
        <v>25196</v>
      </c>
      <c r="CF163" s="8">
        <v>12686</v>
      </c>
      <c r="CG163" s="8">
        <v>19215</v>
      </c>
      <c r="CH163" s="8">
        <v>25535</v>
      </c>
      <c r="CJ163" s="9"/>
      <c r="CK163" s="9"/>
      <c r="CL163" s="9"/>
      <c r="CM163" s="9"/>
      <c r="CN163" s="9"/>
      <c r="CO163" s="9"/>
      <c r="CP163" s="9"/>
      <c r="CQ163" s="9"/>
      <c r="CR163" s="9"/>
      <c r="CS163" s="9"/>
      <c r="CT163" s="9"/>
      <c r="CU163" s="9"/>
      <c r="CV163" s="9"/>
      <c r="CW163" s="9"/>
      <c r="CX163" s="9"/>
      <c r="CY163" s="9"/>
      <c r="CZ163" s="9"/>
      <c r="DA163" s="9"/>
      <c r="DB163" s="9"/>
      <c r="DC163" s="9"/>
      <c r="DD163" s="9"/>
      <c r="DE163" s="9"/>
      <c r="DF163" s="9"/>
      <c r="DG163" s="9"/>
      <c r="DH163" s="9"/>
      <c r="DI163" s="9"/>
      <c r="DJ163" s="9"/>
      <c r="DK163" s="9"/>
      <c r="DL163" s="9"/>
      <c r="DM163" s="9"/>
      <c r="DN163" s="9"/>
      <c r="DO163" s="9"/>
      <c r="DP163" s="9"/>
      <c r="DQ163" s="9"/>
      <c r="DR163" s="9"/>
      <c r="DS163" s="9"/>
      <c r="DT163" s="9"/>
      <c r="DU163" s="9"/>
      <c r="DV163" s="9"/>
      <c r="DW163" s="9"/>
      <c r="DX163" s="9"/>
      <c r="DY163" s="9"/>
      <c r="DZ163" s="9"/>
      <c r="EA163" s="9"/>
      <c r="EB163" s="9"/>
      <c r="EC163" s="9"/>
      <c r="ED163" s="9"/>
      <c r="EE163" s="9"/>
      <c r="EF163" s="9"/>
      <c r="EG163" s="9"/>
      <c r="EH163" s="9"/>
      <c r="EI163" s="9"/>
      <c r="EJ163" s="9"/>
      <c r="EK163" s="9"/>
      <c r="EL163" s="9"/>
      <c r="EM163" s="9"/>
      <c r="EN163" s="9"/>
      <c r="EO163" s="9"/>
      <c r="EP163" s="9"/>
      <c r="EQ163" s="9"/>
      <c r="ER163" s="9"/>
      <c r="ES163" s="9"/>
      <c r="ET163" s="9"/>
      <c r="EU163" s="9"/>
      <c r="EV163" s="9"/>
      <c r="EW163" s="9"/>
      <c r="EX163" s="9"/>
      <c r="EY163" s="9"/>
      <c r="EZ163" s="9"/>
      <c r="FA163" s="9"/>
      <c r="FB163" s="9"/>
      <c r="FC163" s="9"/>
      <c r="FD163" s="9"/>
      <c r="FE163" s="9"/>
      <c r="FF163" s="9"/>
      <c r="FG163" s="9"/>
      <c r="FH163" s="9"/>
      <c r="FI163" s="9"/>
    </row>
    <row r="164" spans="1:165" x14ac:dyDescent="0.2">
      <c r="A164" s="1" t="s">
        <v>696</v>
      </c>
      <c r="B164" s="1" t="s">
        <v>697</v>
      </c>
      <c r="C164" s="1" t="s">
        <v>698</v>
      </c>
      <c r="D164" s="1" t="str">
        <f>HYPERLINK("http://eros.fiehnlab.ucdavis.edu:8080/binbase-compound/bin/show/373670?db=rtx5","373670")</f>
        <v>373670</v>
      </c>
      <c r="E164" s="1" t="s">
        <v>699</v>
      </c>
      <c r="F164" s="1" t="s">
        <v>184</v>
      </c>
      <c r="G164" s="1" t="s">
        <v>184</v>
      </c>
      <c r="H164" s="1"/>
      <c r="I164" s="8">
        <v>244</v>
      </c>
      <c r="J164" s="8">
        <v>652</v>
      </c>
      <c r="K164" s="8">
        <v>724</v>
      </c>
      <c r="L164" s="8">
        <v>463</v>
      </c>
      <c r="M164" s="8">
        <v>1455</v>
      </c>
      <c r="N164" s="8">
        <v>2218</v>
      </c>
      <c r="O164" s="8">
        <v>1262</v>
      </c>
      <c r="P164" s="8">
        <v>703</v>
      </c>
      <c r="Q164" s="8">
        <v>1013</v>
      </c>
      <c r="R164" s="8">
        <v>1541</v>
      </c>
      <c r="S164" s="8">
        <v>865</v>
      </c>
      <c r="T164" s="8">
        <v>1702</v>
      </c>
      <c r="U164" s="8">
        <v>429</v>
      </c>
      <c r="V164" s="8">
        <v>361</v>
      </c>
      <c r="W164" s="8">
        <v>1105</v>
      </c>
      <c r="X164" s="8">
        <v>1490</v>
      </c>
      <c r="Y164" s="8">
        <v>424</v>
      </c>
      <c r="Z164" s="8">
        <v>1865</v>
      </c>
      <c r="AA164" s="8">
        <v>83</v>
      </c>
      <c r="AB164" s="8">
        <v>451</v>
      </c>
      <c r="AC164" s="8">
        <v>470</v>
      </c>
      <c r="AD164" s="8">
        <v>255</v>
      </c>
      <c r="AE164" s="8">
        <v>786</v>
      </c>
      <c r="AF164" s="8">
        <v>176</v>
      </c>
      <c r="AG164" s="8">
        <v>194</v>
      </c>
      <c r="AH164" s="8">
        <v>186</v>
      </c>
      <c r="AI164" s="8">
        <v>1016</v>
      </c>
      <c r="AJ164" s="8">
        <v>1449</v>
      </c>
      <c r="AK164" s="8">
        <v>750</v>
      </c>
      <c r="AL164" s="8">
        <v>2303</v>
      </c>
      <c r="AM164" s="8">
        <v>311</v>
      </c>
      <c r="AN164" s="8">
        <v>274</v>
      </c>
      <c r="AO164" s="8">
        <v>222</v>
      </c>
      <c r="AP164" s="8">
        <v>535</v>
      </c>
      <c r="AQ164" s="8">
        <v>291</v>
      </c>
      <c r="AR164" s="8">
        <v>537</v>
      </c>
      <c r="AS164" s="8">
        <v>340</v>
      </c>
      <c r="AT164" s="8">
        <v>519</v>
      </c>
      <c r="AU164" s="8">
        <v>974</v>
      </c>
      <c r="AV164" s="8">
        <v>628</v>
      </c>
      <c r="AW164" s="8">
        <v>2424</v>
      </c>
      <c r="AX164" s="8">
        <v>446</v>
      </c>
      <c r="AY164" s="8">
        <v>147</v>
      </c>
      <c r="AZ164" s="8">
        <v>283</v>
      </c>
      <c r="BA164" s="8">
        <v>285</v>
      </c>
      <c r="BB164" s="8">
        <v>200</v>
      </c>
      <c r="BC164" s="8">
        <v>151</v>
      </c>
      <c r="BD164" s="8">
        <v>481</v>
      </c>
      <c r="BE164" s="8">
        <v>323</v>
      </c>
      <c r="BF164" s="8">
        <v>211</v>
      </c>
      <c r="BG164" s="8">
        <v>1795</v>
      </c>
      <c r="BH164" s="8">
        <v>895</v>
      </c>
      <c r="BI164" s="8">
        <v>1226</v>
      </c>
      <c r="BJ164" s="8">
        <v>851</v>
      </c>
      <c r="BK164" s="8">
        <v>1507</v>
      </c>
      <c r="BL164" s="8">
        <v>5926</v>
      </c>
      <c r="BM164" s="8">
        <v>5304</v>
      </c>
      <c r="BN164" s="8">
        <v>9558</v>
      </c>
      <c r="BO164" s="8">
        <v>11655</v>
      </c>
      <c r="BP164" s="8">
        <v>12991</v>
      </c>
      <c r="BQ164" s="8">
        <v>4786</v>
      </c>
      <c r="BR164" s="8">
        <v>1423</v>
      </c>
      <c r="BS164" s="8">
        <v>1161</v>
      </c>
      <c r="BT164" s="8">
        <v>5598</v>
      </c>
      <c r="BU164" s="8">
        <v>6024</v>
      </c>
      <c r="BV164" s="8">
        <v>13322</v>
      </c>
      <c r="BW164" s="8">
        <v>903</v>
      </c>
      <c r="BX164" s="8">
        <v>1044</v>
      </c>
      <c r="BY164" s="8">
        <v>871</v>
      </c>
      <c r="BZ164" s="8">
        <v>4630</v>
      </c>
      <c r="CA164" s="8">
        <v>2860</v>
      </c>
      <c r="CB164" s="8">
        <v>2706</v>
      </c>
      <c r="CC164" s="8">
        <v>2351</v>
      </c>
      <c r="CD164" s="8">
        <v>1273</v>
      </c>
      <c r="CE164" s="8">
        <v>908</v>
      </c>
      <c r="CF164" s="8">
        <v>2271</v>
      </c>
      <c r="CG164" s="8">
        <v>8131</v>
      </c>
      <c r="CH164" s="8">
        <v>7617</v>
      </c>
      <c r="CJ164" s="9"/>
      <c r="CK164" s="9"/>
      <c r="CL164" s="9"/>
      <c r="CM164" s="9"/>
      <c r="CN164" s="9"/>
      <c r="CO164" s="9"/>
      <c r="CP164" s="9"/>
      <c r="CQ164" s="9"/>
      <c r="CR164" s="9"/>
      <c r="CS164" s="9"/>
      <c r="CT164" s="9"/>
      <c r="CU164" s="9"/>
      <c r="CV164" s="9"/>
      <c r="CW164" s="9"/>
      <c r="CX164" s="9"/>
      <c r="CY164" s="9"/>
      <c r="CZ164" s="9"/>
      <c r="DA164" s="9"/>
      <c r="DB164" s="9"/>
      <c r="DC164" s="9"/>
      <c r="DD164" s="9"/>
      <c r="DE164" s="9"/>
      <c r="DF164" s="9"/>
      <c r="DG164" s="9"/>
      <c r="DH164" s="9"/>
      <c r="DI164" s="9"/>
      <c r="DJ164" s="9"/>
      <c r="DK164" s="9"/>
      <c r="DL164" s="9"/>
      <c r="DM164" s="9"/>
      <c r="DN164" s="9"/>
      <c r="DO164" s="9"/>
      <c r="DP164" s="9"/>
      <c r="DQ164" s="9"/>
      <c r="DR164" s="9"/>
      <c r="DS164" s="9"/>
      <c r="DT164" s="9"/>
      <c r="DU164" s="9"/>
      <c r="DV164" s="9"/>
      <c r="DW164" s="9"/>
      <c r="DX164" s="9"/>
      <c r="DY164" s="9"/>
      <c r="DZ164" s="9"/>
      <c r="EA164" s="9"/>
      <c r="EB164" s="9"/>
      <c r="EC164" s="9"/>
      <c r="ED164" s="9"/>
      <c r="EE164" s="9"/>
      <c r="EF164" s="9"/>
      <c r="EG164" s="9"/>
      <c r="EH164" s="9"/>
      <c r="EI164" s="9"/>
      <c r="EJ164" s="9"/>
      <c r="EK164" s="9"/>
      <c r="EL164" s="9"/>
      <c r="EM164" s="9"/>
      <c r="EN164" s="9"/>
      <c r="EO164" s="9"/>
      <c r="EP164" s="9"/>
      <c r="EQ164" s="9"/>
      <c r="ER164" s="9"/>
      <c r="ES164" s="9"/>
      <c r="ET164" s="9"/>
      <c r="EU164" s="9"/>
      <c r="EV164" s="9"/>
      <c r="EW164" s="9"/>
      <c r="EX164" s="9"/>
      <c r="EY164" s="9"/>
      <c r="EZ164" s="9"/>
      <c r="FA164" s="9"/>
      <c r="FB164" s="9"/>
      <c r="FC164" s="9"/>
      <c r="FD164" s="9"/>
      <c r="FE164" s="9"/>
      <c r="FF164" s="9"/>
      <c r="FG164" s="9"/>
      <c r="FH164" s="9"/>
      <c r="FI164" s="9"/>
    </row>
    <row r="165" spans="1:165" x14ac:dyDescent="0.2">
      <c r="A165" s="1" t="s">
        <v>798</v>
      </c>
      <c r="B165" s="1" t="s">
        <v>799</v>
      </c>
      <c r="C165" s="1" t="s">
        <v>617</v>
      </c>
      <c r="D165" s="1" t="str">
        <f>HYPERLINK("http://eros.fiehnlab.ucdavis.edu:8080/binbase-compound/bin/show/359447?db=rtx5","359447")</f>
        <v>359447</v>
      </c>
      <c r="E165" s="1" t="s">
        <v>800</v>
      </c>
      <c r="F165" s="1" t="s">
        <v>184</v>
      </c>
      <c r="G165" s="1" t="s">
        <v>184</v>
      </c>
      <c r="H165" s="1"/>
      <c r="I165" s="8">
        <v>302</v>
      </c>
      <c r="J165" s="8">
        <v>392</v>
      </c>
      <c r="K165" s="8">
        <v>513</v>
      </c>
      <c r="L165" s="8">
        <v>263</v>
      </c>
      <c r="M165" s="8">
        <v>399</v>
      </c>
      <c r="N165" s="8">
        <v>405</v>
      </c>
      <c r="O165" s="8">
        <v>184</v>
      </c>
      <c r="P165" s="8">
        <v>385</v>
      </c>
      <c r="Q165" s="8">
        <v>556</v>
      </c>
      <c r="R165" s="8">
        <v>565</v>
      </c>
      <c r="S165" s="8">
        <v>512</v>
      </c>
      <c r="T165" s="8">
        <v>374</v>
      </c>
      <c r="U165" s="8">
        <v>477</v>
      </c>
      <c r="V165" s="8">
        <v>276</v>
      </c>
      <c r="W165" s="8">
        <v>432</v>
      </c>
      <c r="X165" s="8">
        <v>563</v>
      </c>
      <c r="Y165" s="8">
        <v>433</v>
      </c>
      <c r="Z165" s="8">
        <v>532</v>
      </c>
      <c r="AA165" s="8">
        <v>176</v>
      </c>
      <c r="AB165" s="8">
        <v>402</v>
      </c>
      <c r="AC165" s="8">
        <v>610</v>
      </c>
      <c r="AD165" s="8">
        <v>346</v>
      </c>
      <c r="AE165" s="8">
        <v>645</v>
      </c>
      <c r="AF165" s="8">
        <v>324</v>
      </c>
      <c r="AG165" s="8">
        <v>285</v>
      </c>
      <c r="AH165" s="8">
        <v>369</v>
      </c>
      <c r="AI165" s="8">
        <v>403</v>
      </c>
      <c r="AJ165" s="8">
        <v>472</v>
      </c>
      <c r="AK165" s="8">
        <v>377</v>
      </c>
      <c r="AL165" s="8">
        <v>561</v>
      </c>
      <c r="AM165" s="8">
        <v>318</v>
      </c>
      <c r="AN165" s="8">
        <v>295</v>
      </c>
      <c r="AO165" s="8">
        <v>449</v>
      </c>
      <c r="AP165" s="8">
        <v>677</v>
      </c>
      <c r="AQ165" s="8">
        <v>625</v>
      </c>
      <c r="AR165" s="8">
        <v>400</v>
      </c>
      <c r="AS165" s="8">
        <v>399</v>
      </c>
      <c r="AT165" s="8">
        <v>440</v>
      </c>
      <c r="AU165" s="8">
        <v>501</v>
      </c>
      <c r="AV165" s="8">
        <v>327</v>
      </c>
      <c r="AW165" s="8">
        <v>575</v>
      </c>
      <c r="AX165" s="8">
        <v>387</v>
      </c>
      <c r="AY165" s="8">
        <v>625</v>
      </c>
      <c r="AZ165" s="8">
        <v>514</v>
      </c>
      <c r="BA165" s="8">
        <v>801</v>
      </c>
      <c r="BB165" s="8">
        <v>632</v>
      </c>
      <c r="BC165" s="8">
        <v>650</v>
      </c>
      <c r="BD165" s="8">
        <v>550</v>
      </c>
      <c r="BE165" s="8">
        <v>418</v>
      </c>
      <c r="BF165" s="8">
        <v>346</v>
      </c>
      <c r="BG165" s="8">
        <v>326</v>
      </c>
      <c r="BH165" s="8">
        <v>398</v>
      </c>
      <c r="BI165" s="8">
        <v>356</v>
      </c>
      <c r="BJ165" s="8">
        <v>309</v>
      </c>
      <c r="BK165" s="8">
        <v>375</v>
      </c>
      <c r="BL165" s="8">
        <v>301</v>
      </c>
      <c r="BM165" s="8">
        <v>492</v>
      </c>
      <c r="BN165" s="8">
        <v>323</v>
      </c>
      <c r="BO165" s="8">
        <v>472</v>
      </c>
      <c r="BP165" s="8">
        <v>441</v>
      </c>
      <c r="BQ165" s="8">
        <v>541</v>
      </c>
      <c r="BR165" s="8">
        <v>285</v>
      </c>
      <c r="BS165" s="8">
        <v>260</v>
      </c>
      <c r="BT165" s="8">
        <v>550</v>
      </c>
      <c r="BU165" s="8">
        <v>353</v>
      </c>
      <c r="BV165" s="8">
        <v>506</v>
      </c>
      <c r="BW165" s="8">
        <v>394</v>
      </c>
      <c r="BX165" s="8">
        <v>535</v>
      </c>
      <c r="BY165" s="8">
        <v>419</v>
      </c>
      <c r="BZ165" s="8">
        <v>666</v>
      </c>
      <c r="CA165" s="8">
        <v>696</v>
      </c>
      <c r="CB165" s="8">
        <v>426</v>
      </c>
      <c r="CC165" s="8">
        <v>400</v>
      </c>
      <c r="CD165" s="8">
        <v>231</v>
      </c>
      <c r="CE165" s="8">
        <v>454</v>
      </c>
      <c r="CF165" s="8">
        <v>256</v>
      </c>
      <c r="CG165" s="8">
        <v>402</v>
      </c>
      <c r="CH165" s="8">
        <v>463</v>
      </c>
      <c r="CJ165" s="9"/>
      <c r="CK165" s="9"/>
      <c r="CL165" s="9"/>
      <c r="CM165" s="9"/>
      <c r="CN165" s="9"/>
      <c r="CO165" s="9"/>
      <c r="CP165" s="9"/>
      <c r="CQ165" s="9"/>
      <c r="CR165" s="9"/>
      <c r="CS165" s="9"/>
      <c r="CT165" s="9"/>
      <c r="CU165" s="9"/>
      <c r="CV165" s="9"/>
      <c r="CW165" s="9"/>
      <c r="CX165" s="9"/>
      <c r="CY165" s="9"/>
      <c r="CZ165" s="9"/>
      <c r="DA165" s="9"/>
      <c r="DB165" s="9"/>
      <c r="DC165" s="9"/>
      <c r="DD165" s="9"/>
      <c r="DE165" s="9"/>
      <c r="DF165" s="9"/>
      <c r="DG165" s="9"/>
      <c r="DH165" s="9"/>
      <c r="DI165" s="9"/>
      <c r="DJ165" s="9"/>
      <c r="DK165" s="9"/>
      <c r="DL165" s="9"/>
      <c r="DM165" s="9"/>
      <c r="DN165" s="9"/>
      <c r="DO165" s="9"/>
      <c r="DP165" s="9"/>
      <c r="DQ165" s="9"/>
      <c r="DR165" s="9"/>
      <c r="DS165" s="9"/>
      <c r="DT165" s="9"/>
      <c r="DU165" s="9"/>
      <c r="DV165" s="9"/>
      <c r="DW165" s="9"/>
      <c r="DX165" s="9"/>
      <c r="DY165" s="9"/>
      <c r="DZ165" s="9"/>
      <c r="EA165" s="9"/>
      <c r="EB165" s="9"/>
      <c r="EC165" s="9"/>
      <c r="ED165" s="9"/>
      <c r="EE165" s="9"/>
      <c r="EF165" s="9"/>
      <c r="EG165" s="9"/>
      <c r="EH165" s="9"/>
      <c r="EI165" s="9"/>
      <c r="EJ165" s="9"/>
      <c r="EK165" s="9"/>
      <c r="EL165" s="9"/>
      <c r="EM165" s="9"/>
      <c r="EN165" s="9"/>
      <c r="EO165" s="9"/>
      <c r="EP165" s="9"/>
      <c r="EQ165" s="9"/>
      <c r="ER165" s="9"/>
      <c r="ES165" s="9"/>
      <c r="ET165" s="9"/>
      <c r="EU165" s="9"/>
      <c r="EV165" s="9"/>
      <c r="EW165" s="9"/>
      <c r="EX165" s="9"/>
      <c r="EY165" s="9"/>
      <c r="EZ165" s="9"/>
      <c r="FA165" s="9"/>
      <c r="FB165" s="9"/>
      <c r="FC165" s="9"/>
      <c r="FD165" s="9"/>
      <c r="FE165" s="9"/>
      <c r="FF165" s="9"/>
      <c r="FG165" s="9"/>
      <c r="FH165" s="9"/>
      <c r="FI165" s="9"/>
    </row>
    <row r="166" spans="1:165" x14ac:dyDescent="0.2">
      <c r="A166" s="1" t="s">
        <v>1042</v>
      </c>
      <c r="B166" s="1" t="s">
        <v>1043</v>
      </c>
      <c r="C166" s="1" t="s">
        <v>617</v>
      </c>
      <c r="D166" s="1" t="str">
        <f>HYPERLINK("http://eros.fiehnlab.ucdavis.edu:8080/binbase-compound/bin/show/243609?db=rtx5","243609")</f>
        <v>243609</v>
      </c>
      <c r="E166" s="1" t="s">
        <v>1044</v>
      </c>
      <c r="F166" s="1" t="s">
        <v>184</v>
      </c>
      <c r="G166" s="1" t="s">
        <v>184</v>
      </c>
      <c r="H166" s="1"/>
      <c r="I166" s="8">
        <v>276</v>
      </c>
      <c r="J166" s="8">
        <v>155</v>
      </c>
      <c r="K166" s="8">
        <v>427</v>
      </c>
      <c r="L166" s="8">
        <v>409</v>
      </c>
      <c r="M166" s="8">
        <v>298</v>
      </c>
      <c r="N166" s="8">
        <v>359</v>
      </c>
      <c r="O166" s="8">
        <v>261</v>
      </c>
      <c r="P166" s="8">
        <v>232</v>
      </c>
      <c r="Q166" s="8">
        <v>216</v>
      </c>
      <c r="R166" s="8">
        <v>396</v>
      </c>
      <c r="S166" s="8">
        <v>378</v>
      </c>
      <c r="T166" s="8">
        <v>204</v>
      </c>
      <c r="U166" s="8">
        <v>353</v>
      </c>
      <c r="V166" s="8">
        <v>258</v>
      </c>
      <c r="W166" s="8">
        <v>302</v>
      </c>
      <c r="X166" s="8">
        <v>341</v>
      </c>
      <c r="Y166" s="8">
        <v>234</v>
      </c>
      <c r="Z166" s="8">
        <v>302</v>
      </c>
      <c r="AA166" s="8">
        <v>239</v>
      </c>
      <c r="AB166" s="8">
        <v>199</v>
      </c>
      <c r="AC166" s="8">
        <v>218</v>
      </c>
      <c r="AD166" s="8">
        <v>403</v>
      </c>
      <c r="AE166" s="8">
        <v>345</v>
      </c>
      <c r="AF166" s="8">
        <v>179</v>
      </c>
      <c r="AG166" s="8">
        <v>301</v>
      </c>
      <c r="AH166" s="8">
        <v>238</v>
      </c>
      <c r="AI166" s="8">
        <v>226</v>
      </c>
      <c r="AJ166" s="8">
        <v>347</v>
      </c>
      <c r="AK166" s="8">
        <v>255</v>
      </c>
      <c r="AL166" s="8">
        <v>327</v>
      </c>
      <c r="AM166" s="8">
        <v>290</v>
      </c>
      <c r="AN166" s="8">
        <v>259</v>
      </c>
      <c r="AO166" s="8">
        <v>468</v>
      </c>
      <c r="AP166" s="8">
        <v>374</v>
      </c>
      <c r="AQ166" s="8">
        <v>339</v>
      </c>
      <c r="AR166" s="8">
        <v>248</v>
      </c>
      <c r="AS166" s="8">
        <v>419</v>
      </c>
      <c r="AT166" s="8">
        <v>269</v>
      </c>
      <c r="AU166" s="8">
        <v>411</v>
      </c>
      <c r="AV166" s="8">
        <v>275</v>
      </c>
      <c r="AW166" s="8">
        <v>210</v>
      </c>
      <c r="AX166" s="8">
        <v>393</v>
      </c>
      <c r="AY166" s="8">
        <v>190</v>
      </c>
      <c r="AZ166" s="8">
        <v>282</v>
      </c>
      <c r="BA166" s="8">
        <v>458</v>
      </c>
      <c r="BB166" s="8">
        <v>422</v>
      </c>
      <c r="BC166" s="8">
        <v>347</v>
      </c>
      <c r="BD166" s="8">
        <v>394</v>
      </c>
      <c r="BE166" s="8">
        <v>211</v>
      </c>
      <c r="BF166" s="8">
        <v>317</v>
      </c>
      <c r="BG166" s="8">
        <v>279</v>
      </c>
      <c r="BH166" s="8">
        <v>213</v>
      </c>
      <c r="BI166" s="8">
        <v>214</v>
      </c>
      <c r="BJ166" s="8">
        <v>227</v>
      </c>
      <c r="BK166" s="8">
        <v>362</v>
      </c>
      <c r="BL166" s="8">
        <v>475</v>
      </c>
      <c r="BM166" s="8">
        <v>357</v>
      </c>
      <c r="BN166" s="8">
        <v>213</v>
      </c>
      <c r="BO166" s="8">
        <v>246</v>
      </c>
      <c r="BP166" s="8">
        <v>204</v>
      </c>
      <c r="BQ166" s="8">
        <v>503</v>
      </c>
      <c r="BR166" s="8">
        <v>259</v>
      </c>
      <c r="BS166" s="8">
        <v>301</v>
      </c>
      <c r="BT166" s="8">
        <v>220</v>
      </c>
      <c r="BU166" s="8">
        <v>171</v>
      </c>
      <c r="BV166" s="8">
        <v>235</v>
      </c>
      <c r="BW166" s="8">
        <v>263</v>
      </c>
      <c r="BX166" s="8">
        <v>301</v>
      </c>
      <c r="BY166" s="8">
        <v>207</v>
      </c>
      <c r="BZ166" s="8">
        <v>286</v>
      </c>
      <c r="CA166" s="8">
        <v>205</v>
      </c>
      <c r="CB166" s="8">
        <v>278</v>
      </c>
      <c r="CC166" s="8">
        <v>252</v>
      </c>
      <c r="CD166" s="8">
        <v>237</v>
      </c>
      <c r="CE166" s="8">
        <v>246</v>
      </c>
      <c r="CF166" s="8">
        <v>283</v>
      </c>
      <c r="CG166" s="8">
        <v>425</v>
      </c>
      <c r="CH166" s="8">
        <v>267</v>
      </c>
      <c r="CJ166" s="9"/>
      <c r="CK166" s="9"/>
      <c r="CL166" s="9"/>
      <c r="CM166" s="9"/>
      <c r="CN166" s="9"/>
      <c r="CO166" s="9"/>
      <c r="CP166" s="9"/>
      <c r="CQ166" s="9"/>
      <c r="CR166" s="9"/>
      <c r="CS166" s="9"/>
      <c r="CT166" s="9"/>
      <c r="CU166" s="9"/>
      <c r="CV166" s="9"/>
      <c r="CW166" s="9"/>
      <c r="CX166" s="9"/>
      <c r="CY166" s="9"/>
      <c r="CZ166" s="9"/>
      <c r="DA166" s="9"/>
      <c r="DB166" s="9"/>
      <c r="DC166" s="9"/>
      <c r="DD166" s="9"/>
      <c r="DE166" s="9"/>
      <c r="DF166" s="9"/>
      <c r="DG166" s="9"/>
      <c r="DH166" s="9"/>
      <c r="DI166" s="9"/>
      <c r="DJ166" s="9"/>
      <c r="DK166" s="9"/>
      <c r="DL166" s="9"/>
      <c r="DM166" s="9"/>
      <c r="DN166" s="9"/>
      <c r="DO166" s="9"/>
      <c r="DP166" s="9"/>
      <c r="DQ166" s="9"/>
      <c r="DR166" s="9"/>
      <c r="DS166" s="9"/>
      <c r="DT166" s="9"/>
      <c r="DU166" s="9"/>
      <c r="DV166" s="9"/>
      <c r="DW166" s="9"/>
      <c r="DX166" s="9"/>
      <c r="DY166" s="9"/>
      <c r="DZ166" s="9"/>
      <c r="EA166" s="9"/>
      <c r="EB166" s="9"/>
      <c r="EC166" s="9"/>
      <c r="ED166" s="9"/>
      <c r="EE166" s="9"/>
      <c r="EF166" s="9"/>
      <c r="EG166" s="9"/>
      <c r="EH166" s="9"/>
      <c r="EI166" s="9"/>
      <c r="EJ166" s="9"/>
      <c r="EK166" s="9"/>
      <c r="EL166" s="9"/>
      <c r="EM166" s="9"/>
      <c r="EN166" s="9"/>
      <c r="EO166" s="9"/>
      <c r="EP166" s="9"/>
      <c r="EQ166" s="9"/>
      <c r="ER166" s="9"/>
      <c r="ES166" s="9"/>
      <c r="ET166" s="9"/>
      <c r="EU166" s="9"/>
      <c r="EV166" s="9"/>
      <c r="EW166" s="9"/>
      <c r="EX166" s="9"/>
      <c r="EY166" s="9"/>
      <c r="EZ166" s="9"/>
      <c r="FA166" s="9"/>
      <c r="FB166" s="9"/>
      <c r="FC166" s="9"/>
      <c r="FD166" s="9"/>
      <c r="FE166" s="9"/>
      <c r="FF166" s="9"/>
      <c r="FG166" s="9"/>
      <c r="FH166" s="9"/>
      <c r="FI166" s="9"/>
    </row>
    <row r="167" spans="1:165" x14ac:dyDescent="0.2">
      <c r="A167" s="1" t="s">
        <v>725</v>
      </c>
      <c r="B167" s="1" t="s">
        <v>726</v>
      </c>
      <c r="C167" s="1" t="s">
        <v>540</v>
      </c>
      <c r="D167" s="1" t="str">
        <f>HYPERLINK("http://eros.fiehnlab.ucdavis.edu:8080/binbase-compound/bin/show/369589?db=rtx5","369589")</f>
        <v>369589</v>
      </c>
      <c r="E167" s="1" t="s">
        <v>727</v>
      </c>
      <c r="F167" s="1" t="s">
        <v>184</v>
      </c>
      <c r="G167" s="1" t="s">
        <v>184</v>
      </c>
      <c r="H167" s="1"/>
      <c r="I167" s="8">
        <v>353</v>
      </c>
      <c r="J167" s="8">
        <v>172</v>
      </c>
      <c r="K167" s="8">
        <v>362</v>
      </c>
      <c r="L167" s="8">
        <v>238</v>
      </c>
      <c r="M167" s="8">
        <v>248</v>
      </c>
      <c r="N167" s="8">
        <v>297</v>
      </c>
      <c r="O167" s="8">
        <v>560</v>
      </c>
      <c r="P167" s="8">
        <v>748</v>
      </c>
      <c r="Q167" s="8">
        <v>567</v>
      </c>
      <c r="R167" s="8">
        <v>222</v>
      </c>
      <c r="S167" s="8">
        <v>693</v>
      </c>
      <c r="T167" s="8">
        <v>732</v>
      </c>
      <c r="U167" s="8">
        <v>536</v>
      </c>
      <c r="V167" s="8">
        <v>679</v>
      </c>
      <c r="W167" s="8">
        <v>320</v>
      </c>
      <c r="X167" s="8">
        <v>605</v>
      </c>
      <c r="Y167" s="8">
        <v>579</v>
      </c>
      <c r="Z167" s="8">
        <v>613</v>
      </c>
      <c r="AA167" s="8">
        <v>198</v>
      </c>
      <c r="AB167" s="8">
        <v>143</v>
      </c>
      <c r="AC167" s="8">
        <v>322</v>
      </c>
      <c r="AD167" s="8">
        <v>232</v>
      </c>
      <c r="AE167" s="8">
        <v>291</v>
      </c>
      <c r="AF167" s="8">
        <v>221</v>
      </c>
      <c r="AG167" s="8">
        <v>329</v>
      </c>
      <c r="AH167" s="8">
        <v>322</v>
      </c>
      <c r="AI167" s="8">
        <v>293</v>
      </c>
      <c r="AJ167" s="8">
        <v>309</v>
      </c>
      <c r="AK167" s="8">
        <v>378</v>
      </c>
      <c r="AL167" s="8">
        <v>432</v>
      </c>
      <c r="AM167" s="8">
        <v>830</v>
      </c>
      <c r="AN167" s="8">
        <v>549</v>
      </c>
      <c r="AO167" s="8">
        <v>696</v>
      </c>
      <c r="AP167" s="8">
        <v>607</v>
      </c>
      <c r="AQ167" s="8">
        <v>591</v>
      </c>
      <c r="AR167" s="8">
        <v>449</v>
      </c>
      <c r="AS167" s="8">
        <v>752</v>
      </c>
      <c r="AT167" s="8">
        <v>551</v>
      </c>
      <c r="AU167" s="8">
        <v>708</v>
      </c>
      <c r="AV167" s="8">
        <v>520</v>
      </c>
      <c r="AW167" s="8">
        <v>637</v>
      </c>
      <c r="AX167" s="8">
        <v>604</v>
      </c>
      <c r="AY167" s="8">
        <v>314</v>
      </c>
      <c r="AZ167" s="8">
        <v>491</v>
      </c>
      <c r="BA167" s="8">
        <v>531</v>
      </c>
      <c r="BB167" s="8">
        <v>210</v>
      </c>
      <c r="BC167" s="8">
        <v>297</v>
      </c>
      <c r="BD167" s="8">
        <v>240</v>
      </c>
      <c r="BE167" s="8">
        <v>273</v>
      </c>
      <c r="BF167" s="8">
        <v>313</v>
      </c>
      <c r="BG167" s="8">
        <v>266</v>
      </c>
      <c r="BH167" s="8">
        <v>263</v>
      </c>
      <c r="BI167" s="8">
        <v>257</v>
      </c>
      <c r="BJ167" s="8">
        <v>377</v>
      </c>
      <c r="BK167" s="8">
        <v>451</v>
      </c>
      <c r="BL167" s="8">
        <v>505</v>
      </c>
      <c r="BM167" s="8">
        <v>622</v>
      </c>
      <c r="BN167" s="8">
        <v>294</v>
      </c>
      <c r="BO167" s="8">
        <v>544</v>
      </c>
      <c r="BP167" s="8">
        <v>496</v>
      </c>
      <c r="BQ167" s="8">
        <v>587</v>
      </c>
      <c r="BR167" s="8">
        <v>409</v>
      </c>
      <c r="BS167" s="8">
        <v>553</v>
      </c>
      <c r="BT167" s="8">
        <v>406</v>
      </c>
      <c r="BU167" s="8">
        <v>322</v>
      </c>
      <c r="BV167" s="8">
        <v>475</v>
      </c>
      <c r="BW167" s="8">
        <v>251</v>
      </c>
      <c r="BX167" s="8">
        <v>248</v>
      </c>
      <c r="BY167" s="8">
        <v>212</v>
      </c>
      <c r="BZ167" s="8">
        <v>256</v>
      </c>
      <c r="CA167" s="8">
        <v>129</v>
      </c>
      <c r="CB167" s="8">
        <v>123</v>
      </c>
      <c r="CC167" s="8">
        <v>268</v>
      </c>
      <c r="CD167" s="8">
        <v>368</v>
      </c>
      <c r="CE167" s="8">
        <v>279</v>
      </c>
      <c r="CF167" s="8">
        <v>324</v>
      </c>
      <c r="CG167" s="8">
        <v>366</v>
      </c>
      <c r="CH167" s="8">
        <v>238</v>
      </c>
      <c r="CJ167" s="9"/>
      <c r="CK167" s="9"/>
      <c r="CL167" s="9"/>
      <c r="CM167" s="9"/>
      <c r="CN167" s="9"/>
      <c r="CO167" s="9"/>
      <c r="CP167" s="9"/>
      <c r="CQ167" s="9"/>
      <c r="CR167" s="9"/>
      <c r="CS167" s="9"/>
      <c r="CT167" s="9"/>
      <c r="CU167" s="9"/>
      <c r="CV167" s="9"/>
      <c r="CW167" s="9"/>
      <c r="CX167" s="9"/>
      <c r="CY167" s="9"/>
      <c r="CZ167" s="9"/>
      <c r="DA167" s="9"/>
      <c r="DB167" s="9"/>
      <c r="DC167" s="9"/>
      <c r="DD167" s="9"/>
      <c r="DE167" s="9"/>
      <c r="DF167" s="9"/>
      <c r="DG167" s="9"/>
      <c r="DH167" s="9"/>
      <c r="DI167" s="9"/>
      <c r="DJ167" s="9"/>
      <c r="DK167" s="9"/>
      <c r="DL167" s="9"/>
      <c r="DM167" s="9"/>
      <c r="DN167" s="9"/>
      <c r="DO167" s="9"/>
      <c r="DP167" s="9"/>
      <c r="DQ167" s="9"/>
      <c r="DR167" s="9"/>
      <c r="DS167" s="9"/>
      <c r="DT167" s="9"/>
      <c r="DU167" s="9"/>
      <c r="DV167" s="9"/>
      <c r="DW167" s="9"/>
      <c r="DX167" s="9"/>
      <c r="DY167" s="9"/>
      <c r="DZ167" s="9"/>
      <c r="EA167" s="9"/>
      <c r="EB167" s="9"/>
      <c r="EC167" s="9"/>
      <c r="ED167" s="9"/>
      <c r="EE167" s="9"/>
      <c r="EF167" s="9"/>
      <c r="EG167" s="9"/>
      <c r="EH167" s="9"/>
      <c r="EI167" s="9"/>
      <c r="EJ167" s="9"/>
      <c r="EK167" s="9"/>
      <c r="EL167" s="9"/>
      <c r="EM167" s="9"/>
      <c r="EN167" s="9"/>
      <c r="EO167" s="9"/>
      <c r="EP167" s="9"/>
      <c r="EQ167" s="9"/>
      <c r="ER167" s="9"/>
      <c r="ES167" s="9"/>
      <c r="ET167" s="9"/>
      <c r="EU167" s="9"/>
      <c r="EV167" s="9"/>
      <c r="EW167" s="9"/>
      <c r="EX167" s="9"/>
      <c r="EY167" s="9"/>
      <c r="EZ167" s="9"/>
      <c r="FA167" s="9"/>
      <c r="FB167" s="9"/>
      <c r="FC167" s="9"/>
      <c r="FD167" s="9"/>
      <c r="FE167" s="9"/>
      <c r="FF167" s="9"/>
      <c r="FG167" s="9"/>
      <c r="FH167" s="9"/>
      <c r="FI167" s="9"/>
    </row>
    <row r="168" spans="1:165" x14ac:dyDescent="0.2">
      <c r="A168" s="1" t="s">
        <v>1023</v>
      </c>
      <c r="B168" s="1" t="s">
        <v>1024</v>
      </c>
      <c r="C168" s="1" t="s">
        <v>719</v>
      </c>
      <c r="D168" s="1" t="str">
        <f>HYPERLINK("http://eros.fiehnlab.ucdavis.edu:8080/binbase-compound/bin/show/268709?db=rtx5","268709")</f>
        <v>268709</v>
      </c>
      <c r="E168" s="1" t="s">
        <v>1025</v>
      </c>
      <c r="F168" s="1" t="s">
        <v>184</v>
      </c>
      <c r="G168" s="1" t="s">
        <v>184</v>
      </c>
      <c r="H168" s="1"/>
      <c r="I168" s="8">
        <v>100</v>
      </c>
      <c r="J168" s="8">
        <v>461</v>
      </c>
      <c r="K168" s="8">
        <v>35</v>
      </c>
      <c r="L168" s="8">
        <v>45</v>
      </c>
      <c r="M168" s="8">
        <v>129</v>
      </c>
      <c r="N168" s="8">
        <v>118</v>
      </c>
      <c r="O168" s="8">
        <v>212</v>
      </c>
      <c r="P168" s="8">
        <v>549</v>
      </c>
      <c r="Q168" s="8">
        <v>244</v>
      </c>
      <c r="R168" s="8">
        <v>298</v>
      </c>
      <c r="S168" s="8">
        <v>127</v>
      </c>
      <c r="T168" s="8">
        <v>508</v>
      </c>
      <c r="U168" s="8">
        <v>538</v>
      </c>
      <c r="V168" s="8">
        <v>115</v>
      </c>
      <c r="W168" s="8">
        <v>265</v>
      </c>
      <c r="X168" s="8">
        <v>281</v>
      </c>
      <c r="Y168" s="8">
        <v>192</v>
      </c>
      <c r="Z168" s="8">
        <v>78</v>
      </c>
      <c r="AA168" s="8">
        <v>208</v>
      </c>
      <c r="AB168" s="8">
        <v>321</v>
      </c>
      <c r="AC168" s="8">
        <v>126</v>
      </c>
      <c r="AD168" s="8">
        <v>117</v>
      </c>
      <c r="AE168" s="8">
        <v>211</v>
      </c>
      <c r="AF168" s="8">
        <v>112</v>
      </c>
      <c r="AG168" s="8">
        <v>272</v>
      </c>
      <c r="AH168" s="8">
        <v>97</v>
      </c>
      <c r="AI168" s="8">
        <v>271</v>
      </c>
      <c r="AJ168" s="8">
        <v>709</v>
      </c>
      <c r="AK168" s="8">
        <v>131</v>
      </c>
      <c r="AL168" s="8">
        <v>85</v>
      </c>
      <c r="AM168" s="8">
        <v>159</v>
      </c>
      <c r="AN168" s="8">
        <v>572</v>
      </c>
      <c r="AO168" s="8">
        <v>369</v>
      </c>
      <c r="AP168" s="8">
        <v>158</v>
      </c>
      <c r="AQ168" s="8">
        <v>431</v>
      </c>
      <c r="AR168" s="8">
        <v>223</v>
      </c>
      <c r="AS168" s="8">
        <v>103</v>
      </c>
      <c r="AT168" s="8">
        <v>66</v>
      </c>
      <c r="AU168" s="8">
        <v>156</v>
      </c>
      <c r="AV168" s="8">
        <v>190</v>
      </c>
      <c r="AW168" s="8">
        <v>400</v>
      </c>
      <c r="AX168" s="8">
        <v>857</v>
      </c>
      <c r="AY168" s="8">
        <v>392</v>
      </c>
      <c r="AZ168" s="8">
        <v>110</v>
      </c>
      <c r="BA168" s="8">
        <v>79</v>
      </c>
      <c r="BB168" s="8">
        <v>186</v>
      </c>
      <c r="BC168" s="8">
        <v>200</v>
      </c>
      <c r="BD168" s="8">
        <v>96</v>
      </c>
      <c r="BE168" s="8">
        <v>80</v>
      </c>
      <c r="BF168" s="8">
        <v>137</v>
      </c>
      <c r="BG168" s="8">
        <v>52</v>
      </c>
      <c r="BH168" s="8">
        <v>444</v>
      </c>
      <c r="BI168" s="8">
        <v>256</v>
      </c>
      <c r="BJ168" s="8">
        <v>223</v>
      </c>
      <c r="BK168" s="8">
        <v>295</v>
      </c>
      <c r="BL168" s="8">
        <v>315</v>
      </c>
      <c r="BM168" s="8">
        <v>105</v>
      </c>
      <c r="BN168" s="8">
        <v>157</v>
      </c>
      <c r="BO168" s="8">
        <v>651</v>
      </c>
      <c r="BP168" s="8">
        <v>154</v>
      </c>
      <c r="BQ168" s="8">
        <v>166</v>
      </c>
      <c r="BR168" s="8">
        <v>686</v>
      </c>
      <c r="BS168" s="8">
        <v>210</v>
      </c>
      <c r="BT168" s="8">
        <v>111</v>
      </c>
      <c r="BU168" s="8">
        <v>415</v>
      </c>
      <c r="BV168" s="8">
        <v>50</v>
      </c>
      <c r="BW168" s="8">
        <v>290</v>
      </c>
      <c r="BX168" s="8">
        <v>401</v>
      </c>
      <c r="BY168" s="8">
        <v>136</v>
      </c>
      <c r="BZ168" s="8">
        <v>220</v>
      </c>
      <c r="CA168" s="8">
        <v>227</v>
      </c>
      <c r="CB168" s="8">
        <v>179</v>
      </c>
      <c r="CC168" s="8">
        <v>416</v>
      </c>
      <c r="CD168" s="8">
        <v>142</v>
      </c>
      <c r="CE168" s="8">
        <v>134</v>
      </c>
      <c r="CF168" s="8">
        <v>104</v>
      </c>
      <c r="CG168" s="8">
        <v>632</v>
      </c>
      <c r="CH168" s="8">
        <v>132</v>
      </c>
      <c r="CJ168" s="9"/>
      <c r="CK168" s="9"/>
      <c r="CL168" s="9"/>
      <c r="CM168" s="9"/>
      <c r="CN168" s="9"/>
      <c r="CO168" s="9"/>
      <c r="CP168" s="9"/>
      <c r="CQ168" s="9"/>
      <c r="CR168" s="9"/>
      <c r="CS168" s="9"/>
      <c r="CT168" s="9"/>
      <c r="CU168" s="9"/>
      <c r="CV168" s="9"/>
      <c r="CW168" s="9"/>
      <c r="CX168" s="9"/>
      <c r="CY168" s="9"/>
      <c r="CZ168" s="9"/>
      <c r="DA168" s="9"/>
      <c r="DB168" s="9"/>
      <c r="DC168" s="9"/>
      <c r="DD168" s="9"/>
      <c r="DE168" s="9"/>
      <c r="DF168" s="9"/>
      <c r="DG168" s="9"/>
      <c r="DH168" s="9"/>
      <c r="DI168" s="9"/>
      <c r="DJ168" s="9"/>
      <c r="DK168" s="9"/>
      <c r="DL168" s="9"/>
      <c r="DM168" s="9"/>
      <c r="DN168" s="9"/>
      <c r="DO168" s="9"/>
      <c r="DP168" s="9"/>
      <c r="DQ168" s="9"/>
      <c r="DR168" s="9"/>
      <c r="DS168" s="9"/>
      <c r="DT168" s="9"/>
      <c r="DU168" s="9"/>
      <c r="DV168" s="9"/>
      <c r="DW168" s="9"/>
      <c r="DX168" s="9"/>
      <c r="DY168" s="9"/>
      <c r="DZ168" s="9"/>
      <c r="EA168" s="9"/>
      <c r="EB168" s="9"/>
      <c r="EC168" s="9"/>
      <c r="ED168" s="9"/>
      <c r="EE168" s="9"/>
      <c r="EF168" s="9"/>
      <c r="EG168" s="9"/>
      <c r="EH168" s="9"/>
      <c r="EI168" s="9"/>
      <c r="EJ168" s="9"/>
      <c r="EK168" s="9"/>
      <c r="EL168" s="9"/>
      <c r="EM168" s="9"/>
      <c r="EN168" s="9"/>
      <c r="EO168" s="9"/>
      <c r="EP168" s="9"/>
      <c r="EQ168" s="9"/>
      <c r="ER168" s="9"/>
      <c r="ES168" s="9"/>
      <c r="ET168" s="9"/>
      <c r="EU168" s="9"/>
      <c r="EV168" s="9"/>
      <c r="EW168" s="9"/>
      <c r="EX168" s="9"/>
      <c r="EY168" s="9"/>
      <c r="EZ168" s="9"/>
      <c r="FA168" s="9"/>
      <c r="FB168" s="9"/>
      <c r="FC168" s="9"/>
      <c r="FD168" s="9"/>
      <c r="FE168" s="9"/>
      <c r="FF168" s="9"/>
      <c r="FG168" s="9"/>
      <c r="FH168" s="9"/>
      <c r="FI168" s="9"/>
    </row>
    <row r="169" spans="1:165" x14ac:dyDescent="0.2">
      <c r="A169" s="1" t="s">
        <v>1100</v>
      </c>
      <c r="B169" s="1" t="s">
        <v>1101</v>
      </c>
      <c r="C169" s="1" t="s">
        <v>1102</v>
      </c>
      <c r="D169" s="1" t="str">
        <f>HYPERLINK("http://eros.fiehnlab.ucdavis.edu:8080/binbase-compound/bin/show/231850?db=rtx5","231850")</f>
        <v>231850</v>
      </c>
      <c r="E169" s="1" t="s">
        <v>1103</v>
      </c>
      <c r="F169" s="1" t="s">
        <v>184</v>
      </c>
      <c r="G169" s="1" t="s">
        <v>184</v>
      </c>
      <c r="H169" s="1"/>
      <c r="I169" s="8">
        <v>270</v>
      </c>
      <c r="J169" s="8">
        <v>1550</v>
      </c>
      <c r="K169" s="8">
        <v>500</v>
      </c>
      <c r="L169" s="8">
        <v>347</v>
      </c>
      <c r="M169" s="8">
        <v>2238</v>
      </c>
      <c r="N169" s="8">
        <v>1397</v>
      </c>
      <c r="O169" s="8">
        <v>871</v>
      </c>
      <c r="P169" s="8">
        <v>1455</v>
      </c>
      <c r="Q169" s="8">
        <v>1546</v>
      </c>
      <c r="R169" s="8">
        <v>5343</v>
      </c>
      <c r="S169" s="8">
        <v>2776</v>
      </c>
      <c r="T169" s="8">
        <v>1348</v>
      </c>
      <c r="U169" s="8">
        <v>397</v>
      </c>
      <c r="V169" s="8">
        <v>294</v>
      </c>
      <c r="W169" s="8">
        <v>236</v>
      </c>
      <c r="X169" s="8">
        <v>1197</v>
      </c>
      <c r="Y169" s="8">
        <v>958</v>
      </c>
      <c r="Z169" s="8">
        <v>1662</v>
      </c>
      <c r="AA169" s="8">
        <v>171</v>
      </c>
      <c r="AB169" s="8">
        <v>430</v>
      </c>
      <c r="AC169" s="8">
        <v>308</v>
      </c>
      <c r="AD169" s="8">
        <v>1285</v>
      </c>
      <c r="AE169" s="8">
        <v>338</v>
      </c>
      <c r="AF169" s="8">
        <v>857</v>
      </c>
      <c r="AG169" s="8">
        <v>395</v>
      </c>
      <c r="AH169" s="8">
        <v>244</v>
      </c>
      <c r="AI169" s="8">
        <v>1074</v>
      </c>
      <c r="AJ169" s="8">
        <v>451</v>
      </c>
      <c r="AK169" s="8">
        <v>1679</v>
      </c>
      <c r="AL169" s="8">
        <v>781</v>
      </c>
      <c r="AM169" s="8">
        <v>3797</v>
      </c>
      <c r="AN169" s="8">
        <v>318</v>
      </c>
      <c r="AO169" s="8">
        <v>397</v>
      </c>
      <c r="AP169" s="8">
        <v>853</v>
      </c>
      <c r="AQ169" s="8">
        <v>4214</v>
      </c>
      <c r="AR169" s="8">
        <v>329</v>
      </c>
      <c r="AS169" s="8">
        <v>2984</v>
      </c>
      <c r="AT169" s="8">
        <v>410</v>
      </c>
      <c r="AU169" s="8">
        <v>1866</v>
      </c>
      <c r="AV169" s="8">
        <v>945</v>
      </c>
      <c r="AW169" s="8">
        <v>561</v>
      </c>
      <c r="AX169" s="8">
        <v>3273</v>
      </c>
      <c r="AY169" s="8">
        <v>875</v>
      </c>
      <c r="AZ169" s="8">
        <v>1867</v>
      </c>
      <c r="BA169" s="8">
        <v>4591</v>
      </c>
      <c r="BB169" s="8">
        <v>5135</v>
      </c>
      <c r="BC169" s="8">
        <v>2723</v>
      </c>
      <c r="BD169" s="8">
        <v>4467</v>
      </c>
      <c r="BE169" s="8">
        <v>1001</v>
      </c>
      <c r="BF169" s="8">
        <v>188</v>
      </c>
      <c r="BG169" s="8">
        <v>1948</v>
      </c>
      <c r="BH169" s="8">
        <v>1459</v>
      </c>
      <c r="BI169" s="8">
        <v>3408</v>
      </c>
      <c r="BJ169" s="8">
        <v>6193</v>
      </c>
      <c r="BK169" s="8">
        <v>395</v>
      </c>
      <c r="BL169" s="8">
        <v>1169</v>
      </c>
      <c r="BM169" s="8">
        <v>454</v>
      </c>
      <c r="BN169" s="8">
        <v>989</v>
      </c>
      <c r="BO169" s="8">
        <v>1243</v>
      </c>
      <c r="BP169" s="8">
        <v>498</v>
      </c>
      <c r="BQ169" s="8">
        <v>273</v>
      </c>
      <c r="BR169" s="8">
        <v>488</v>
      </c>
      <c r="BS169" s="8">
        <v>1536</v>
      </c>
      <c r="BT169" s="8">
        <v>1494</v>
      </c>
      <c r="BU169" s="8">
        <v>828</v>
      </c>
      <c r="BV169" s="8">
        <v>496</v>
      </c>
      <c r="BW169" s="8">
        <v>664</v>
      </c>
      <c r="BX169" s="8">
        <v>447</v>
      </c>
      <c r="BY169" s="8">
        <v>443</v>
      </c>
      <c r="BZ169" s="8">
        <v>418</v>
      </c>
      <c r="CA169" s="8">
        <v>266</v>
      </c>
      <c r="CB169" s="8">
        <v>380</v>
      </c>
      <c r="CC169" s="8">
        <v>744</v>
      </c>
      <c r="CD169" s="8">
        <v>715</v>
      </c>
      <c r="CE169" s="8">
        <v>173</v>
      </c>
      <c r="CF169" s="8">
        <v>1155</v>
      </c>
      <c r="CG169" s="8">
        <v>819</v>
      </c>
      <c r="CH169" s="8">
        <v>217</v>
      </c>
      <c r="CJ169" s="9"/>
      <c r="CK169" s="9"/>
      <c r="CL169" s="9"/>
      <c r="CM169" s="9"/>
      <c r="CN169" s="9"/>
      <c r="CO169" s="9"/>
      <c r="CP169" s="9"/>
      <c r="CQ169" s="9"/>
      <c r="CR169" s="9"/>
      <c r="CS169" s="9"/>
      <c r="CT169" s="9"/>
      <c r="CU169" s="9"/>
      <c r="CV169" s="9"/>
      <c r="CW169" s="9"/>
      <c r="CX169" s="9"/>
      <c r="CY169" s="9"/>
      <c r="CZ169" s="9"/>
      <c r="DA169" s="9"/>
      <c r="DB169" s="9"/>
      <c r="DC169" s="9"/>
      <c r="DD169" s="9"/>
      <c r="DE169" s="9"/>
      <c r="DF169" s="9"/>
      <c r="DG169" s="9"/>
      <c r="DH169" s="9"/>
      <c r="DI169" s="9"/>
      <c r="DJ169" s="9"/>
      <c r="DK169" s="9"/>
      <c r="DL169" s="9"/>
      <c r="DM169" s="9"/>
      <c r="DN169" s="9"/>
      <c r="DO169" s="9"/>
      <c r="DP169" s="9"/>
      <c r="DQ169" s="9"/>
      <c r="DR169" s="9"/>
      <c r="DS169" s="9"/>
      <c r="DT169" s="9"/>
      <c r="DU169" s="9"/>
      <c r="DV169" s="9"/>
      <c r="DW169" s="9"/>
      <c r="DX169" s="9"/>
      <c r="DY169" s="9"/>
      <c r="DZ169" s="9"/>
      <c r="EA169" s="9"/>
      <c r="EB169" s="9"/>
      <c r="EC169" s="9"/>
      <c r="ED169" s="9"/>
      <c r="EE169" s="9"/>
      <c r="EF169" s="9"/>
      <c r="EG169" s="9"/>
      <c r="EH169" s="9"/>
      <c r="EI169" s="9"/>
      <c r="EJ169" s="9"/>
      <c r="EK169" s="9"/>
      <c r="EL169" s="9"/>
      <c r="EM169" s="9"/>
      <c r="EN169" s="9"/>
      <c r="EO169" s="9"/>
      <c r="EP169" s="9"/>
      <c r="EQ169" s="9"/>
      <c r="ER169" s="9"/>
      <c r="ES169" s="9"/>
      <c r="ET169" s="9"/>
      <c r="EU169" s="9"/>
      <c r="EV169" s="9"/>
      <c r="EW169" s="9"/>
      <c r="EX169" s="9"/>
      <c r="EY169" s="9"/>
      <c r="EZ169" s="9"/>
      <c r="FA169" s="9"/>
      <c r="FB169" s="9"/>
      <c r="FC169" s="9"/>
      <c r="FD169" s="9"/>
      <c r="FE169" s="9"/>
      <c r="FF169" s="9"/>
      <c r="FG169" s="9"/>
      <c r="FH169" s="9"/>
      <c r="FI169" s="9"/>
    </row>
    <row r="170" spans="1:165" x14ac:dyDescent="0.2">
      <c r="A170" s="1" t="s">
        <v>1367</v>
      </c>
      <c r="B170" s="1" t="s">
        <v>1368</v>
      </c>
      <c r="C170" s="1" t="s">
        <v>1198</v>
      </c>
      <c r="D170" s="1" t="str">
        <f>HYPERLINK("http://eros.fiehnlab.ucdavis.edu:8080/binbase-compound/bin/show/200914?db=rtx5","200914")</f>
        <v>200914</v>
      </c>
      <c r="E170" s="1" t="s">
        <v>1369</v>
      </c>
      <c r="F170" s="1" t="s">
        <v>184</v>
      </c>
      <c r="G170" s="1" t="s">
        <v>184</v>
      </c>
      <c r="H170" s="1"/>
      <c r="I170" s="8">
        <v>702</v>
      </c>
      <c r="J170" s="8">
        <v>489</v>
      </c>
      <c r="K170" s="8">
        <v>511</v>
      </c>
      <c r="L170" s="8">
        <v>494</v>
      </c>
      <c r="M170" s="8">
        <v>644</v>
      </c>
      <c r="N170" s="8">
        <v>574</v>
      </c>
      <c r="O170" s="8">
        <v>596</v>
      </c>
      <c r="P170" s="8">
        <v>729</v>
      </c>
      <c r="Q170" s="8">
        <v>902</v>
      </c>
      <c r="R170" s="8">
        <v>823</v>
      </c>
      <c r="S170" s="8">
        <v>828</v>
      </c>
      <c r="T170" s="8">
        <v>762</v>
      </c>
      <c r="U170" s="8">
        <v>408</v>
      </c>
      <c r="V170" s="8">
        <v>857</v>
      </c>
      <c r="W170" s="8">
        <v>683</v>
      </c>
      <c r="X170" s="8">
        <v>824</v>
      </c>
      <c r="Y170" s="8">
        <v>823</v>
      </c>
      <c r="Z170" s="8">
        <v>1005</v>
      </c>
      <c r="AA170" s="8">
        <v>206</v>
      </c>
      <c r="AB170" s="8">
        <v>312</v>
      </c>
      <c r="AC170" s="8">
        <v>289</v>
      </c>
      <c r="AD170" s="8">
        <v>262</v>
      </c>
      <c r="AE170" s="8">
        <v>287</v>
      </c>
      <c r="AF170" s="8">
        <v>210</v>
      </c>
      <c r="AG170" s="8">
        <v>409</v>
      </c>
      <c r="AH170" s="8">
        <v>621</v>
      </c>
      <c r="AI170" s="8">
        <v>496</v>
      </c>
      <c r="AJ170" s="8">
        <v>927</v>
      </c>
      <c r="AK170" s="8">
        <v>603</v>
      </c>
      <c r="AL170" s="8">
        <v>689</v>
      </c>
      <c r="AM170" s="8">
        <v>907</v>
      </c>
      <c r="AN170" s="8">
        <v>802</v>
      </c>
      <c r="AO170" s="8">
        <v>648</v>
      </c>
      <c r="AP170" s="8">
        <v>902</v>
      </c>
      <c r="AQ170" s="8">
        <v>1046</v>
      </c>
      <c r="AR170" s="8">
        <v>800</v>
      </c>
      <c r="AS170" s="8">
        <v>783</v>
      </c>
      <c r="AT170" s="8">
        <v>942</v>
      </c>
      <c r="AU170" s="8">
        <v>799</v>
      </c>
      <c r="AV170" s="8">
        <v>874</v>
      </c>
      <c r="AW170" s="8">
        <v>892</v>
      </c>
      <c r="AX170" s="8">
        <v>928</v>
      </c>
      <c r="AY170" s="8">
        <v>318</v>
      </c>
      <c r="AZ170" s="8">
        <v>410</v>
      </c>
      <c r="BA170" s="8">
        <v>399</v>
      </c>
      <c r="BB170" s="8">
        <v>490</v>
      </c>
      <c r="BC170" s="8">
        <v>405</v>
      </c>
      <c r="BD170" s="8">
        <v>401</v>
      </c>
      <c r="BE170" s="8">
        <v>546</v>
      </c>
      <c r="BF170" s="8">
        <v>621</v>
      </c>
      <c r="BG170" s="8">
        <v>656</v>
      </c>
      <c r="BH170" s="8">
        <v>541</v>
      </c>
      <c r="BI170" s="8">
        <v>905</v>
      </c>
      <c r="BJ170" s="8">
        <v>804</v>
      </c>
      <c r="BK170" s="8">
        <v>705</v>
      </c>
      <c r="BL170" s="8">
        <v>603</v>
      </c>
      <c r="BM170" s="8">
        <v>781</v>
      </c>
      <c r="BN170" s="8">
        <v>635</v>
      </c>
      <c r="BO170" s="8">
        <v>707</v>
      </c>
      <c r="BP170" s="8">
        <v>832</v>
      </c>
      <c r="BQ170" s="8">
        <v>682</v>
      </c>
      <c r="BR170" s="8">
        <v>877</v>
      </c>
      <c r="BS170" s="8">
        <v>714</v>
      </c>
      <c r="BT170" s="8">
        <v>903</v>
      </c>
      <c r="BU170" s="8">
        <v>928</v>
      </c>
      <c r="BV170" s="8">
        <v>922</v>
      </c>
      <c r="BW170" s="8">
        <v>381</v>
      </c>
      <c r="BX170" s="8">
        <v>336</v>
      </c>
      <c r="BY170" s="8">
        <v>295</v>
      </c>
      <c r="BZ170" s="8">
        <v>323</v>
      </c>
      <c r="CA170" s="8">
        <v>350</v>
      </c>
      <c r="CB170" s="8">
        <v>280</v>
      </c>
      <c r="CC170" s="8">
        <v>642</v>
      </c>
      <c r="CD170" s="8">
        <v>441</v>
      </c>
      <c r="CE170" s="8">
        <v>583</v>
      </c>
      <c r="CF170" s="8">
        <v>514</v>
      </c>
      <c r="CG170" s="8">
        <v>645</v>
      </c>
      <c r="CH170" s="8">
        <v>808</v>
      </c>
      <c r="CJ170" s="9"/>
      <c r="CK170" s="9"/>
      <c r="CL170" s="9"/>
      <c r="CM170" s="9"/>
      <c r="CN170" s="9"/>
      <c r="CO170" s="9"/>
      <c r="CP170" s="9"/>
      <c r="CQ170" s="9"/>
      <c r="CR170" s="9"/>
      <c r="CS170" s="9"/>
      <c r="CT170" s="9"/>
      <c r="CU170" s="9"/>
      <c r="CV170" s="9"/>
      <c r="CW170" s="9"/>
      <c r="CX170" s="9"/>
      <c r="CY170" s="9"/>
      <c r="CZ170" s="9"/>
      <c r="DA170" s="9"/>
      <c r="DB170" s="9"/>
      <c r="DC170" s="9"/>
      <c r="DD170" s="9"/>
      <c r="DE170" s="9"/>
      <c r="DF170" s="9"/>
      <c r="DG170" s="9"/>
      <c r="DH170" s="9"/>
      <c r="DI170" s="9"/>
      <c r="DJ170" s="9"/>
      <c r="DK170" s="9"/>
      <c r="DL170" s="9"/>
      <c r="DM170" s="9"/>
      <c r="DN170" s="9"/>
      <c r="DO170" s="9"/>
      <c r="DP170" s="9"/>
      <c r="DQ170" s="9"/>
      <c r="DR170" s="9"/>
      <c r="DS170" s="9"/>
      <c r="DT170" s="9"/>
      <c r="DU170" s="9"/>
      <c r="DV170" s="9"/>
      <c r="DW170" s="9"/>
      <c r="DX170" s="9"/>
      <c r="DY170" s="9"/>
      <c r="DZ170" s="9"/>
      <c r="EA170" s="9"/>
      <c r="EB170" s="9"/>
      <c r="EC170" s="9"/>
      <c r="ED170" s="9"/>
      <c r="EE170" s="9"/>
      <c r="EF170" s="9"/>
      <c r="EG170" s="9"/>
      <c r="EH170" s="9"/>
      <c r="EI170" s="9"/>
      <c r="EJ170" s="9"/>
      <c r="EK170" s="9"/>
      <c r="EL170" s="9"/>
      <c r="EM170" s="9"/>
      <c r="EN170" s="9"/>
      <c r="EO170" s="9"/>
      <c r="EP170" s="9"/>
      <c r="EQ170" s="9"/>
      <c r="ER170" s="9"/>
      <c r="ES170" s="9"/>
      <c r="ET170" s="9"/>
      <c r="EU170" s="9"/>
      <c r="EV170" s="9"/>
      <c r="EW170" s="9"/>
      <c r="EX170" s="9"/>
      <c r="EY170" s="9"/>
      <c r="EZ170" s="9"/>
      <c r="FA170" s="9"/>
      <c r="FB170" s="9"/>
      <c r="FC170" s="9"/>
      <c r="FD170" s="9"/>
      <c r="FE170" s="9"/>
      <c r="FF170" s="9"/>
      <c r="FG170" s="9"/>
      <c r="FH170" s="9"/>
      <c r="FI170" s="9"/>
    </row>
    <row r="171" spans="1:165" x14ac:dyDescent="0.2">
      <c r="A171" s="1" t="s">
        <v>751</v>
      </c>
      <c r="B171" s="1" t="s">
        <v>752</v>
      </c>
      <c r="C171" s="1" t="s">
        <v>371</v>
      </c>
      <c r="D171" s="1" t="str">
        <f>HYPERLINK("http://eros.fiehnlab.ucdavis.edu:8080/binbase-compound/bin/show/367970?db=rtx5","367970")</f>
        <v>367970</v>
      </c>
      <c r="E171" s="1" t="s">
        <v>753</v>
      </c>
      <c r="F171" s="1" t="s">
        <v>184</v>
      </c>
      <c r="G171" s="1" t="s">
        <v>184</v>
      </c>
      <c r="H171" s="1"/>
      <c r="I171" s="8">
        <v>2740</v>
      </c>
      <c r="J171" s="8">
        <v>3041</v>
      </c>
      <c r="K171" s="8">
        <v>3017</v>
      </c>
      <c r="L171" s="8">
        <v>2969</v>
      </c>
      <c r="M171" s="8">
        <v>3409</v>
      </c>
      <c r="N171" s="8">
        <v>3200</v>
      </c>
      <c r="O171" s="8">
        <v>458</v>
      </c>
      <c r="P171" s="8">
        <v>336</v>
      </c>
      <c r="Q171" s="8">
        <v>560</v>
      </c>
      <c r="R171" s="8">
        <v>645</v>
      </c>
      <c r="S171" s="8">
        <v>567</v>
      </c>
      <c r="T171" s="8">
        <v>392</v>
      </c>
      <c r="U171" s="8">
        <v>563</v>
      </c>
      <c r="V171" s="8">
        <v>467</v>
      </c>
      <c r="W171" s="8">
        <v>604</v>
      </c>
      <c r="X171" s="8">
        <v>553</v>
      </c>
      <c r="Y171" s="8">
        <v>453</v>
      </c>
      <c r="Z171" s="8">
        <v>444</v>
      </c>
      <c r="AA171" s="8">
        <v>399</v>
      </c>
      <c r="AB171" s="8">
        <v>498</v>
      </c>
      <c r="AC171" s="8">
        <v>590</v>
      </c>
      <c r="AD171" s="8">
        <v>454</v>
      </c>
      <c r="AE171" s="8">
        <v>622</v>
      </c>
      <c r="AF171" s="8">
        <v>551</v>
      </c>
      <c r="AG171" s="8">
        <v>541</v>
      </c>
      <c r="AH171" s="8">
        <v>606</v>
      </c>
      <c r="AI171" s="8">
        <v>426</v>
      </c>
      <c r="AJ171" s="8">
        <v>698</v>
      </c>
      <c r="AK171" s="8">
        <v>417</v>
      </c>
      <c r="AL171" s="8">
        <v>543</v>
      </c>
      <c r="AM171" s="8">
        <v>360</v>
      </c>
      <c r="AN171" s="8">
        <v>349</v>
      </c>
      <c r="AO171" s="8">
        <v>351</v>
      </c>
      <c r="AP171" s="8">
        <v>403</v>
      </c>
      <c r="AQ171" s="8">
        <v>256</v>
      </c>
      <c r="AR171" s="8">
        <v>336</v>
      </c>
      <c r="AS171" s="8">
        <v>298</v>
      </c>
      <c r="AT171" s="8">
        <v>302</v>
      </c>
      <c r="AU171" s="8">
        <v>323</v>
      </c>
      <c r="AV171" s="8">
        <v>316</v>
      </c>
      <c r="AW171" s="8">
        <v>360</v>
      </c>
      <c r="AX171" s="8">
        <v>294</v>
      </c>
      <c r="AY171" s="8">
        <v>245</v>
      </c>
      <c r="AZ171" s="8">
        <v>350</v>
      </c>
      <c r="BA171" s="8">
        <v>349</v>
      </c>
      <c r="BB171" s="8">
        <v>286</v>
      </c>
      <c r="BC171" s="8">
        <v>255</v>
      </c>
      <c r="BD171" s="8">
        <v>275</v>
      </c>
      <c r="BE171" s="8">
        <v>565</v>
      </c>
      <c r="BF171" s="8">
        <v>541</v>
      </c>
      <c r="BG171" s="8">
        <v>299</v>
      </c>
      <c r="BH171" s="8">
        <v>431</v>
      </c>
      <c r="BI171" s="8">
        <v>592</v>
      </c>
      <c r="BJ171" s="8">
        <v>513</v>
      </c>
      <c r="BK171" s="8">
        <v>375</v>
      </c>
      <c r="BL171" s="8">
        <v>449</v>
      </c>
      <c r="BM171" s="8">
        <v>344</v>
      </c>
      <c r="BN171" s="8">
        <v>407</v>
      </c>
      <c r="BO171" s="8">
        <v>426</v>
      </c>
      <c r="BP171" s="8">
        <v>524</v>
      </c>
      <c r="BQ171" s="8">
        <v>401</v>
      </c>
      <c r="BR171" s="8">
        <v>455</v>
      </c>
      <c r="BS171" s="8">
        <v>395</v>
      </c>
      <c r="BT171" s="8">
        <v>660</v>
      </c>
      <c r="BU171" s="8">
        <v>422</v>
      </c>
      <c r="BV171" s="8">
        <v>419</v>
      </c>
      <c r="BW171" s="8">
        <v>278</v>
      </c>
      <c r="BX171" s="8">
        <v>437</v>
      </c>
      <c r="BY171" s="8">
        <v>410</v>
      </c>
      <c r="BZ171" s="8">
        <v>278</v>
      </c>
      <c r="CA171" s="8">
        <v>297</v>
      </c>
      <c r="CB171" s="8">
        <v>425</v>
      </c>
      <c r="CC171" s="8">
        <v>499</v>
      </c>
      <c r="CD171" s="8">
        <v>474</v>
      </c>
      <c r="CE171" s="8">
        <v>507</v>
      </c>
      <c r="CF171" s="8">
        <v>599</v>
      </c>
      <c r="CG171" s="8">
        <v>481</v>
      </c>
      <c r="CH171" s="8">
        <v>610</v>
      </c>
      <c r="CJ171" s="9"/>
      <c r="CK171" s="9"/>
      <c r="CL171" s="9"/>
      <c r="CM171" s="9"/>
      <c r="CN171" s="9"/>
      <c r="CO171" s="9"/>
      <c r="CP171" s="9"/>
      <c r="CQ171" s="9"/>
      <c r="CR171" s="9"/>
      <c r="CS171" s="9"/>
      <c r="CT171" s="9"/>
      <c r="CU171" s="9"/>
      <c r="CV171" s="9"/>
      <c r="CW171" s="9"/>
      <c r="CX171" s="9"/>
      <c r="CY171" s="9"/>
      <c r="CZ171" s="9"/>
      <c r="DA171" s="9"/>
      <c r="DB171" s="9"/>
      <c r="DC171" s="9"/>
      <c r="DD171" s="9"/>
      <c r="DE171" s="9"/>
      <c r="DF171" s="9"/>
      <c r="DG171" s="9"/>
      <c r="DH171" s="9"/>
      <c r="DI171" s="9"/>
      <c r="DJ171" s="9"/>
      <c r="DK171" s="9"/>
      <c r="DL171" s="9"/>
      <c r="DM171" s="9"/>
      <c r="DN171" s="9"/>
      <c r="DO171" s="9"/>
      <c r="DP171" s="9"/>
      <c r="DQ171" s="9"/>
      <c r="DR171" s="9"/>
      <c r="DS171" s="9"/>
      <c r="DT171" s="9"/>
      <c r="DU171" s="9"/>
      <c r="DV171" s="9"/>
      <c r="DW171" s="9"/>
      <c r="DX171" s="9"/>
      <c r="DY171" s="9"/>
      <c r="DZ171" s="9"/>
      <c r="EA171" s="9"/>
      <c r="EB171" s="9"/>
      <c r="EC171" s="9"/>
      <c r="ED171" s="9"/>
      <c r="EE171" s="9"/>
      <c r="EF171" s="9"/>
      <c r="EG171" s="9"/>
      <c r="EH171" s="9"/>
      <c r="EI171" s="9"/>
      <c r="EJ171" s="9"/>
      <c r="EK171" s="9"/>
      <c r="EL171" s="9"/>
      <c r="EM171" s="9"/>
      <c r="EN171" s="9"/>
      <c r="EO171" s="9"/>
      <c r="EP171" s="9"/>
      <c r="EQ171" s="9"/>
      <c r="ER171" s="9"/>
      <c r="ES171" s="9"/>
      <c r="ET171" s="9"/>
      <c r="EU171" s="9"/>
      <c r="EV171" s="9"/>
      <c r="EW171" s="9"/>
      <c r="EX171" s="9"/>
      <c r="EY171" s="9"/>
      <c r="EZ171" s="9"/>
      <c r="FA171" s="9"/>
      <c r="FB171" s="9"/>
      <c r="FC171" s="9"/>
      <c r="FD171" s="9"/>
      <c r="FE171" s="9"/>
      <c r="FF171" s="9"/>
      <c r="FG171" s="9"/>
      <c r="FH171" s="9"/>
      <c r="FI171" s="9"/>
    </row>
    <row r="172" spans="1:165" x14ac:dyDescent="0.2">
      <c r="A172" s="1" t="s">
        <v>937</v>
      </c>
      <c r="B172" s="1" t="s">
        <v>938</v>
      </c>
      <c r="C172" s="1" t="s">
        <v>939</v>
      </c>
      <c r="D172" s="1" t="str">
        <f>HYPERLINK("http://eros.fiehnlab.ucdavis.edu:8080/binbase-compound/bin/show/293848?db=rtx5","293848")</f>
        <v>293848</v>
      </c>
      <c r="E172" s="1" t="s">
        <v>940</v>
      </c>
      <c r="F172" s="1" t="s">
        <v>184</v>
      </c>
      <c r="G172" s="1" t="s">
        <v>184</v>
      </c>
      <c r="H172" s="1"/>
      <c r="I172" s="8">
        <v>160</v>
      </c>
      <c r="J172" s="8">
        <v>146</v>
      </c>
      <c r="K172" s="8">
        <v>142</v>
      </c>
      <c r="L172" s="8">
        <v>135</v>
      </c>
      <c r="M172" s="8">
        <v>178</v>
      </c>
      <c r="N172" s="8">
        <v>148</v>
      </c>
      <c r="O172" s="8">
        <v>323</v>
      </c>
      <c r="P172" s="8">
        <v>511</v>
      </c>
      <c r="Q172" s="8">
        <v>479</v>
      </c>
      <c r="R172" s="8">
        <v>567</v>
      </c>
      <c r="S172" s="8">
        <v>494</v>
      </c>
      <c r="T172" s="8">
        <v>567</v>
      </c>
      <c r="U172" s="8">
        <v>487</v>
      </c>
      <c r="V172" s="8">
        <v>515</v>
      </c>
      <c r="W172" s="8">
        <v>437</v>
      </c>
      <c r="X172" s="8">
        <v>486</v>
      </c>
      <c r="Y172" s="8">
        <v>404</v>
      </c>
      <c r="Z172" s="8">
        <v>442</v>
      </c>
      <c r="AA172" s="8">
        <v>370</v>
      </c>
      <c r="AB172" s="8">
        <v>496</v>
      </c>
      <c r="AC172" s="8">
        <v>733</v>
      </c>
      <c r="AD172" s="8">
        <v>668</v>
      </c>
      <c r="AE172" s="8">
        <v>597</v>
      </c>
      <c r="AF172" s="8">
        <v>462</v>
      </c>
      <c r="AG172" s="8">
        <v>460</v>
      </c>
      <c r="AH172" s="8">
        <v>724</v>
      </c>
      <c r="AI172" s="8">
        <v>503</v>
      </c>
      <c r="AJ172" s="8">
        <v>487</v>
      </c>
      <c r="AK172" s="8">
        <v>587</v>
      </c>
      <c r="AL172" s="8">
        <v>797</v>
      </c>
      <c r="AM172" s="8">
        <v>591</v>
      </c>
      <c r="AN172" s="8">
        <v>682</v>
      </c>
      <c r="AO172" s="8">
        <v>438</v>
      </c>
      <c r="AP172" s="8">
        <v>464</v>
      </c>
      <c r="AQ172" s="8">
        <v>574</v>
      </c>
      <c r="AR172" s="8">
        <v>371</v>
      </c>
      <c r="AS172" s="8">
        <v>424</v>
      </c>
      <c r="AT172" s="8">
        <v>518</v>
      </c>
      <c r="AU172" s="8">
        <v>424</v>
      </c>
      <c r="AV172" s="8">
        <v>489</v>
      </c>
      <c r="AW172" s="8">
        <v>508</v>
      </c>
      <c r="AX172" s="8">
        <v>484</v>
      </c>
      <c r="AY172" s="8">
        <v>458</v>
      </c>
      <c r="AZ172" s="8">
        <v>647</v>
      </c>
      <c r="BA172" s="8">
        <v>549</v>
      </c>
      <c r="BB172" s="8">
        <v>510</v>
      </c>
      <c r="BC172" s="8">
        <v>585</v>
      </c>
      <c r="BD172" s="8">
        <v>574</v>
      </c>
      <c r="BE172" s="8">
        <v>530</v>
      </c>
      <c r="BF172" s="8">
        <v>508</v>
      </c>
      <c r="BG172" s="8">
        <v>474</v>
      </c>
      <c r="BH172" s="8">
        <v>398</v>
      </c>
      <c r="BI172" s="8">
        <v>538</v>
      </c>
      <c r="BJ172" s="8">
        <v>477</v>
      </c>
      <c r="BK172" s="8">
        <v>537</v>
      </c>
      <c r="BL172" s="8">
        <v>443</v>
      </c>
      <c r="BM172" s="8">
        <v>555</v>
      </c>
      <c r="BN172" s="8">
        <v>506</v>
      </c>
      <c r="BO172" s="8">
        <v>573</v>
      </c>
      <c r="BP172" s="8">
        <v>720</v>
      </c>
      <c r="BQ172" s="8">
        <v>728</v>
      </c>
      <c r="BR172" s="8">
        <v>586</v>
      </c>
      <c r="BS172" s="8">
        <v>580</v>
      </c>
      <c r="BT172" s="8">
        <v>378</v>
      </c>
      <c r="BU172" s="8">
        <v>451</v>
      </c>
      <c r="BV172" s="8">
        <v>502</v>
      </c>
      <c r="BW172" s="8">
        <v>646</v>
      </c>
      <c r="BX172" s="8">
        <v>504</v>
      </c>
      <c r="BY172" s="8">
        <v>473</v>
      </c>
      <c r="BZ172" s="8">
        <v>518</v>
      </c>
      <c r="CA172" s="8">
        <v>592</v>
      </c>
      <c r="CB172" s="8">
        <v>443</v>
      </c>
      <c r="CC172" s="8">
        <v>362</v>
      </c>
      <c r="CD172" s="8">
        <v>527</v>
      </c>
      <c r="CE172" s="8">
        <v>460</v>
      </c>
      <c r="CF172" s="8">
        <v>359</v>
      </c>
      <c r="CG172" s="8">
        <v>601</v>
      </c>
      <c r="CH172" s="8">
        <v>407</v>
      </c>
      <c r="CJ172" s="9"/>
      <c r="CK172" s="9"/>
      <c r="CL172" s="9"/>
      <c r="CM172" s="9"/>
      <c r="CN172" s="9"/>
      <c r="CO172" s="9"/>
      <c r="CP172" s="9"/>
      <c r="CQ172" s="9"/>
      <c r="CR172" s="9"/>
      <c r="CS172" s="9"/>
      <c r="CT172" s="9"/>
      <c r="CU172" s="9"/>
      <c r="CV172" s="9"/>
      <c r="CW172" s="9"/>
      <c r="CX172" s="9"/>
      <c r="CY172" s="9"/>
      <c r="CZ172" s="9"/>
      <c r="DA172" s="9"/>
      <c r="DB172" s="9"/>
      <c r="DC172" s="9"/>
      <c r="DD172" s="9"/>
      <c r="DE172" s="9"/>
      <c r="DF172" s="9"/>
      <c r="DG172" s="9"/>
      <c r="DH172" s="9"/>
      <c r="DI172" s="9"/>
      <c r="DJ172" s="9"/>
      <c r="DK172" s="9"/>
      <c r="DL172" s="9"/>
      <c r="DM172" s="9"/>
      <c r="DN172" s="9"/>
      <c r="DO172" s="9"/>
      <c r="DP172" s="9"/>
      <c r="DQ172" s="9"/>
      <c r="DR172" s="9"/>
      <c r="DS172" s="9"/>
      <c r="DT172" s="9"/>
      <c r="DU172" s="9"/>
      <c r="DV172" s="9"/>
      <c r="DW172" s="9"/>
      <c r="DX172" s="9"/>
      <c r="DY172" s="9"/>
      <c r="DZ172" s="9"/>
      <c r="EA172" s="9"/>
      <c r="EB172" s="9"/>
      <c r="EC172" s="9"/>
      <c r="ED172" s="9"/>
      <c r="EE172" s="9"/>
      <c r="EF172" s="9"/>
      <c r="EG172" s="9"/>
      <c r="EH172" s="9"/>
      <c r="EI172" s="9"/>
      <c r="EJ172" s="9"/>
      <c r="EK172" s="9"/>
      <c r="EL172" s="9"/>
      <c r="EM172" s="9"/>
      <c r="EN172" s="9"/>
      <c r="EO172" s="9"/>
      <c r="EP172" s="9"/>
      <c r="EQ172" s="9"/>
      <c r="ER172" s="9"/>
      <c r="ES172" s="9"/>
      <c r="ET172" s="9"/>
      <c r="EU172" s="9"/>
      <c r="EV172" s="9"/>
      <c r="EW172" s="9"/>
      <c r="EX172" s="9"/>
      <c r="EY172" s="9"/>
      <c r="EZ172" s="9"/>
      <c r="FA172" s="9"/>
      <c r="FB172" s="9"/>
      <c r="FC172" s="9"/>
      <c r="FD172" s="9"/>
      <c r="FE172" s="9"/>
      <c r="FF172" s="9"/>
      <c r="FG172" s="9"/>
      <c r="FH172" s="9"/>
      <c r="FI172" s="9"/>
    </row>
    <row r="173" spans="1:165" x14ac:dyDescent="0.2">
      <c r="A173" s="1" t="s">
        <v>1203</v>
      </c>
      <c r="B173" s="1" t="s">
        <v>1204</v>
      </c>
      <c r="C173" s="1" t="s">
        <v>1205</v>
      </c>
      <c r="D173" s="1" t="str">
        <f>HYPERLINK("http://eros.fiehnlab.ucdavis.edu:8080/binbase-compound/bin/show/224574?db=rtx5","224574")</f>
        <v>224574</v>
      </c>
      <c r="E173" s="1" t="s">
        <v>1206</v>
      </c>
      <c r="F173" s="1" t="s">
        <v>184</v>
      </c>
      <c r="G173" s="1" t="s">
        <v>184</v>
      </c>
      <c r="H173" s="1"/>
      <c r="I173" s="8">
        <v>379</v>
      </c>
      <c r="J173" s="8">
        <v>507</v>
      </c>
      <c r="K173" s="8">
        <v>306</v>
      </c>
      <c r="L173" s="8">
        <v>366</v>
      </c>
      <c r="M173" s="8">
        <v>568</v>
      </c>
      <c r="N173" s="8">
        <v>501</v>
      </c>
      <c r="O173" s="8">
        <v>348</v>
      </c>
      <c r="P173" s="8">
        <v>395</v>
      </c>
      <c r="Q173" s="8">
        <v>423</v>
      </c>
      <c r="R173" s="8">
        <v>667</v>
      </c>
      <c r="S173" s="8">
        <v>874</v>
      </c>
      <c r="T173" s="8">
        <v>467</v>
      </c>
      <c r="U173" s="8">
        <v>171</v>
      </c>
      <c r="V173" s="8">
        <v>349</v>
      </c>
      <c r="W173" s="8">
        <v>288</v>
      </c>
      <c r="X173" s="8">
        <v>568</v>
      </c>
      <c r="Y173" s="8">
        <v>523</v>
      </c>
      <c r="Z173" s="8">
        <v>571</v>
      </c>
      <c r="AA173" s="8">
        <v>166</v>
      </c>
      <c r="AB173" s="8">
        <v>342</v>
      </c>
      <c r="AC173" s="8">
        <v>386</v>
      </c>
      <c r="AD173" s="8">
        <v>466</v>
      </c>
      <c r="AE173" s="8">
        <v>456</v>
      </c>
      <c r="AF173" s="8">
        <v>443</v>
      </c>
      <c r="AG173" s="8">
        <v>228</v>
      </c>
      <c r="AH173" s="8">
        <v>315</v>
      </c>
      <c r="AI173" s="8">
        <v>331</v>
      </c>
      <c r="AJ173" s="8">
        <v>386</v>
      </c>
      <c r="AK173" s="8">
        <v>466</v>
      </c>
      <c r="AL173" s="8">
        <v>658</v>
      </c>
      <c r="AM173" s="8">
        <v>471</v>
      </c>
      <c r="AN173" s="8">
        <v>515</v>
      </c>
      <c r="AO173" s="8">
        <v>576</v>
      </c>
      <c r="AP173" s="8">
        <v>428</v>
      </c>
      <c r="AQ173" s="8">
        <v>641</v>
      </c>
      <c r="AR173" s="8">
        <v>620</v>
      </c>
      <c r="AS173" s="8">
        <v>497</v>
      </c>
      <c r="AT173" s="8">
        <v>355</v>
      </c>
      <c r="AU173" s="8">
        <v>587</v>
      </c>
      <c r="AV173" s="8">
        <v>400</v>
      </c>
      <c r="AW173" s="8">
        <v>168</v>
      </c>
      <c r="AX173" s="8">
        <v>552</v>
      </c>
      <c r="AY173" s="8">
        <v>387</v>
      </c>
      <c r="AZ173" s="8">
        <v>418</v>
      </c>
      <c r="BA173" s="8">
        <v>638</v>
      </c>
      <c r="BB173" s="8">
        <v>721</v>
      </c>
      <c r="BC173" s="8">
        <v>524</v>
      </c>
      <c r="BD173" s="8">
        <v>803</v>
      </c>
      <c r="BE173" s="8">
        <v>318</v>
      </c>
      <c r="BF173" s="8">
        <v>380</v>
      </c>
      <c r="BG173" s="8">
        <v>407</v>
      </c>
      <c r="BH173" s="8">
        <v>444</v>
      </c>
      <c r="BI173" s="8">
        <v>393</v>
      </c>
      <c r="BJ173" s="8">
        <v>398</v>
      </c>
      <c r="BK173" s="8">
        <v>434</v>
      </c>
      <c r="BL173" s="8">
        <v>542</v>
      </c>
      <c r="BM173" s="8">
        <v>570</v>
      </c>
      <c r="BN173" s="8">
        <v>285</v>
      </c>
      <c r="BO173" s="8">
        <v>373</v>
      </c>
      <c r="BP173" s="8">
        <v>809</v>
      </c>
      <c r="BQ173" s="8">
        <v>401</v>
      </c>
      <c r="BR173" s="8">
        <v>368</v>
      </c>
      <c r="BS173" s="8">
        <v>382</v>
      </c>
      <c r="BT173" s="8">
        <v>533</v>
      </c>
      <c r="BU173" s="8">
        <v>568</v>
      </c>
      <c r="BV173" s="8">
        <v>523</v>
      </c>
      <c r="BW173" s="8">
        <v>519</v>
      </c>
      <c r="BX173" s="8">
        <v>495</v>
      </c>
      <c r="BY173" s="8">
        <v>565</v>
      </c>
      <c r="BZ173" s="8">
        <v>305</v>
      </c>
      <c r="CA173" s="8">
        <v>350</v>
      </c>
      <c r="CB173" s="8">
        <v>305</v>
      </c>
      <c r="CC173" s="8">
        <v>446</v>
      </c>
      <c r="CD173" s="8">
        <v>256</v>
      </c>
      <c r="CE173" s="8">
        <v>434</v>
      </c>
      <c r="CF173" s="8">
        <v>389</v>
      </c>
      <c r="CG173" s="8">
        <v>265</v>
      </c>
      <c r="CH173" s="8">
        <v>407</v>
      </c>
      <c r="CJ173" s="9"/>
      <c r="CK173" s="9"/>
      <c r="CL173" s="9"/>
      <c r="CM173" s="9"/>
      <c r="CN173" s="9"/>
      <c r="CO173" s="9"/>
      <c r="CP173" s="9"/>
      <c r="CQ173" s="9"/>
      <c r="CR173" s="9"/>
      <c r="CS173" s="9"/>
      <c r="CT173" s="9"/>
      <c r="CU173" s="9"/>
      <c r="CV173" s="9"/>
      <c r="CW173" s="9"/>
      <c r="CX173" s="9"/>
      <c r="CY173" s="9"/>
      <c r="CZ173" s="9"/>
      <c r="DA173" s="9"/>
      <c r="DB173" s="9"/>
      <c r="DC173" s="9"/>
      <c r="DD173" s="9"/>
      <c r="DE173" s="9"/>
      <c r="DF173" s="9"/>
      <c r="DG173" s="9"/>
      <c r="DH173" s="9"/>
      <c r="DI173" s="9"/>
      <c r="DJ173" s="9"/>
      <c r="DK173" s="9"/>
      <c r="DL173" s="9"/>
      <c r="DM173" s="9"/>
      <c r="DN173" s="9"/>
      <c r="DO173" s="9"/>
      <c r="DP173" s="9"/>
      <c r="DQ173" s="9"/>
      <c r="DR173" s="9"/>
      <c r="DS173" s="9"/>
      <c r="DT173" s="9"/>
      <c r="DU173" s="9"/>
      <c r="DV173" s="9"/>
      <c r="DW173" s="9"/>
      <c r="DX173" s="9"/>
      <c r="DY173" s="9"/>
      <c r="DZ173" s="9"/>
      <c r="EA173" s="9"/>
      <c r="EB173" s="9"/>
      <c r="EC173" s="9"/>
      <c r="ED173" s="9"/>
      <c r="EE173" s="9"/>
      <c r="EF173" s="9"/>
      <c r="EG173" s="9"/>
      <c r="EH173" s="9"/>
      <c r="EI173" s="9"/>
      <c r="EJ173" s="9"/>
      <c r="EK173" s="9"/>
      <c r="EL173" s="9"/>
      <c r="EM173" s="9"/>
      <c r="EN173" s="9"/>
      <c r="EO173" s="9"/>
      <c r="EP173" s="9"/>
      <c r="EQ173" s="9"/>
      <c r="ER173" s="9"/>
      <c r="ES173" s="9"/>
      <c r="ET173" s="9"/>
      <c r="EU173" s="9"/>
      <c r="EV173" s="9"/>
      <c r="EW173" s="9"/>
      <c r="EX173" s="9"/>
      <c r="EY173" s="9"/>
      <c r="EZ173" s="9"/>
      <c r="FA173" s="9"/>
      <c r="FB173" s="9"/>
      <c r="FC173" s="9"/>
      <c r="FD173" s="9"/>
      <c r="FE173" s="9"/>
      <c r="FF173" s="9"/>
      <c r="FG173" s="9"/>
      <c r="FH173" s="9"/>
      <c r="FI173" s="9"/>
    </row>
    <row r="174" spans="1:165" x14ac:dyDescent="0.2">
      <c r="A174" s="1" t="s">
        <v>1035</v>
      </c>
      <c r="B174" s="1" t="s">
        <v>1036</v>
      </c>
      <c r="C174" s="1" t="s">
        <v>533</v>
      </c>
      <c r="D174" s="1" t="str">
        <f>HYPERLINK("http://eros.fiehnlab.ucdavis.edu:8080/binbase-compound/bin/show/268365?db=rtx5","268365")</f>
        <v>268365</v>
      </c>
      <c r="E174" s="1" t="s">
        <v>1037</v>
      </c>
      <c r="F174" s="1" t="s">
        <v>184</v>
      </c>
      <c r="G174" s="1" t="s">
        <v>184</v>
      </c>
      <c r="H174" s="1"/>
      <c r="I174" s="8">
        <v>658</v>
      </c>
      <c r="J174" s="8">
        <v>1244</v>
      </c>
      <c r="K174" s="8">
        <v>528</v>
      </c>
      <c r="L174" s="8">
        <v>431</v>
      </c>
      <c r="M174" s="8">
        <v>799</v>
      </c>
      <c r="N174" s="8">
        <v>1432</v>
      </c>
      <c r="O174" s="8">
        <v>1520</v>
      </c>
      <c r="P174" s="8">
        <v>1656</v>
      </c>
      <c r="Q174" s="8">
        <v>1701</v>
      </c>
      <c r="R174" s="8">
        <v>1301</v>
      </c>
      <c r="S174" s="8">
        <v>968</v>
      </c>
      <c r="T174" s="8">
        <v>1545</v>
      </c>
      <c r="U174" s="8">
        <v>669</v>
      </c>
      <c r="V174" s="8">
        <v>735</v>
      </c>
      <c r="W174" s="8">
        <v>680</v>
      </c>
      <c r="X174" s="8">
        <v>2017</v>
      </c>
      <c r="Y174" s="8">
        <v>1076</v>
      </c>
      <c r="Z174" s="8">
        <v>1079</v>
      </c>
      <c r="AA174" s="8">
        <v>256</v>
      </c>
      <c r="AB174" s="8">
        <v>475</v>
      </c>
      <c r="AC174" s="8">
        <v>279</v>
      </c>
      <c r="AD174" s="8">
        <v>335</v>
      </c>
      <c r="AE174" s="8">
        <v>331</v>
      </c>
      <c r="AF174" s="8">
        <v>203</v>
      </c>
      <c r="AG174" s="8">
        <v>492</v>
      </c>
      <c r="AH174" s="8">
        <v>519</v>
      </c>
      <c r="AI174" s="8">
        <v>921</v>
      </c>
      <c r="AJ174" s="8">
        <v>1090</v>
      </c>
      <c r="AK174" s="8">
        <v>1232</v>
      </c>
      <c r="AL174" s="8">
        <v>1468</v>
      </c>
      <c r="AM174" s="8">
        <v>600</v>
      </c>
      <c r="AN174" s="8">
        <v>539</v>
      </c>
      <c r="AO174" s="8">
        <v>1007</v>
      </c>
      <c r="AP174" s="8">
        <v>972</v>
      </c>
      <c r="AQ174" s="8">
        <v>1113</v>
      </c>
      <c r="AR174" s="8">
        <v>1155</v>
      </c>
      <c r="AS174" s="8">
        <v>748</v>
      </c>
      <c r="AT174" s="8">
        <v>799</v>
      </c>
      <c r="AU174" s="8">
        <v>2366</v>
      </c>
      <c r="AV174" s="8">
        <v>2005</v>
      </c>
      <c r="AW174" s="8">
        <v>1772</v>
      </c>
      <c r="AX174" s="8">
        <v>1504</v>
      </c>
      <c r="AY174" s="8">
        <v>376</v>
      </c>
      <c r="AZ174" s="8">
        <v>316</v>
      </c>
      <c r="BA174" s="8">
        <v>210</v>
      </c>
      <c r="BB174" s="8">
        <v>222</v>
      </c>
      <c r="BC174" s="8">
        <v>202</v>
      </c>
      <c r="BD174" s="8">
        <v>226</v>
      </c>
      <c r="BE174" s="8">
        <v>695</v>
      </c>
      <c r="BF174" s="8">
        <v>532</v>
      </c>
      <c r="BG174" s="8">
        <v>1678</v>
      </c>
      <c r="BH174" s="8">
        <v>1372</v>
      </c>
      <c r="BI174" s="8">
        <v>1530</v>
      </c>
      <c r="BJ174" s="8">
        <v>688</v>
      </c>
      <c r="BK174" s="8">
        <v>438</v>
      </c>
      <c r="BL174" s="8">
        <v>1173</v>
      </c>
      <c r="BM174" s="8">
        <v>1564</v>
      </c>
      <c r="BN174" s="8">
        <v>936</v>
      </c>
      <c r="BO174" s="8">
        <v>1025</v>
      </c>
      <c r="BP174" s="8">
        <v>1412</v>
      </c>
      <c r="BQ174" s="8">
        <v>518</v>
      </c>
      <c r="BR174" s="8">
        <v>703</v>
      </c>
      <c r="BS174" s="8">
        <v>580</v>
      </c>
      <c r="BT174" s="8">
        <v>1499</v>
      </c>
      <c r="BU174" s="8">
        <v>1221</v>
      </c>
      <c r="BV174" s="8">
        <v>1247</v>
      </c>
      <c r="BW174" s="8">
        <v>260</v>
      </c>
      <c r="BX174" s="8">
        <v>305</v>
      </c>
      <c r="BY174" s="8">
        <v>328</v>
      </c>
      <c r="BZ174" s="8">
        <v>283</v>
      </c>
      <c r="CA174" s="8">
        <v>189</v>
      </c>
      <c r="CB174" s="8">
        <v>120</v>
      </c>
      <c r="CC174" s="8">
        <v>372</v>
      </c>
      <c r="CD174" s="8">
        <v>258</v>
      </c>
      <c r="CE174" s="8">
        <v>324</v>
      </c>
      <c r="CF174" s="8">
        <v>873</v>
      </c>
      <c r="CG174" s="8">
        <v>759</v>
      </c>
      <c r="CH174" s="8">
        <v>1383</v>
      </c>
      <c r="CJ174" s="9"/>
      <c r="CK174" s="9"/>
      <c r="CL174" s="9"/>
      <c r="CM174" s="9"/>
      <c r="CN174" s="9"/>
      <c r="CO174" s="9"/>
      <c r="CP174" s="9"/>
      <c r="CQ174" s="9"/>
      <c r="CR174" s="9"/>
      <c r="CS174" s="9"/>
      <c r="CT174" s="9"/>
      <c r="CU174" s="9"/>
      <c r="CV174" s="9"/>
      <c r="CW174" s="9"/>
      <c r="CX174" s="9"/>
      <c r="CY174" s="9"/>
      <c r="CZ174" s="9"/>
      <c r="DA174" s="9"/>
      <c r="DB174" s="9"/>
      <c r="DC174" s="9"/>
      <c r="DD174" s="9"/>
      <c r="DE174" s="9"/>
      <c r="DF174" s="9"/>
      <c r="DG174" s="9"/>
      <c r="DH174" s="9"/>
      <c r="DI174" s="9"/>
      <c r="DJ174" s="9"/>
      <c r="DK174" s="9"/>
      <c r="DL174" s="9"/>
      <c r="DM174" s="9"/>
      <c r="DN174" s="9"/>
      <c r="DO174" s="9"/>
      <c r="DP174" s="9"/>
      <c r="DQ174" s="9"/>
      <c r="DR174" s="9"/>
      <c r="DS174" s="9"/>
      <c r="DT174" s="9"/>
      <c r="DU174" s="9"/>
      <c r="DV174" s="9"/>
      <c r="DW174" s="9"/>
      <c r="DX174" s="9"/>
      <c r="DY174" s="9"/>
      <c r="DZ174" s="9"/>
      <c r="EA174" s="9"/>
      <c r="EB174" s="9"/>
      <c r="EC174" s="9"/>
      <c r="ED174" s="9"/>
      <c r="EE174" s="9"/>
      <c r="EF174" s="9"/>
      <c r="EG174" s="9"/>
      <c r="EH174" s="9"/>
      <c r="EI174" s="9"/>
      <c r="EJ174" s="9"/>
      <c r="EK174" s="9"/>
      <c r="EL174" s="9"/>
      <c r="EM174" s="9"/>
      <c r="EN174" s="9"/>
      <c r="EO174" s="9"/>
      <c r="EP174" s="9"/>
      <c r="EQ174" s="9"/>
      <c r="ER174" s="9"/>
      <c r="ES174" s="9"/>
      <c r="ET174" s="9"/>
      <c r="EU174" s="9"/>
      <c r="EV174" s="9"/>
      <c r="EW174" s="9"/>
      <c r="EX174" s="9"/>
      <c r="EY174" s="9"/>
      <c r="EZ174" s="9"/>
      <c r="FA174" s="9"/>
      <c r="FB174" s="9"/>
      <c r="FC174" s="9"/>
      <c r="FD174" s="9"/>
      <c r="FE174" s="9"/>
      <c r="FF174" s="9"/>
      <c r="FG174" s="9"/>
      <c r="FH174" s="9"/>
      <c r="FI174" s="9"/>
    </row>
    <row r="175" spans="1:165" x14ac:dyDescent="0.2">
      <c r="A175" s="1" t="s">
        <v>1278</v>
      </c>
      <c r="B175" s="1" t="s">
        <v>1279</v>
      </c>
      <c r="C175" s="1" t="s">
        <v>1159</v>
      </c>
      <c r="D175" s="1" t="str">
        <f>HYPERLINK("http://eros.fiehnlab.ucdavis.edu:8080/binbase-compound/bin/show/213960?db=rtx5","213960")</f>
        <v>213960</v>
      </c>
      <c r="E175" s="1" t="s">
        <v>1280</v>
      </c>
      <c r="F175" s="1" t="s">
        <v>184</v>
      </c>
      <c r="G175" s="1" t="s">
        <v>184</v>
      </c>
      <c r="H175" s="1"/>
      <c r="I175" s="8">
        <v>906</v>
      </c>
      <c r="J175" s="8">
        <v>700</v>
      </c>
      <c r="K175" s="8">
        <v>688</v>
      </c>
      <c r="L175" s="8">
        <v>651</v>
      </c>
      <c r="M175" s="8">
        <v>666</v>
      </c>
      <c r="N175" s="8">
        <v>935</v>
      </c>
      <c r="O175" s="8">
        <v>621</v>
      </c>
      <c r="P175" s="8">
        <v>626</v>
      </c>
      <c r="Q175" s="8">
        <v>897</v>
      </c>
      <c r="R175" s="8">
        <v>483</v>
      </c>
      <c r="S175" s="8">
        <v>1091</v>
      </c>
      <c r="T175" s="8">
        <v>507</v>
      </c>
      <c r="U175" s="8">
        <v>476</v>
      </c>
      <c r="V175" s="8">
        <v>620</v>
      </c>
      <c r="W175" s="8">
        <v>612</v>
      </c>
      <c r="X175" s="8">
        <v>891</v>
      </c>
      <c r="Y175" s="8">
        <v>722</v>
      </c>
      <c r="Z175" s="8">
        <v>659</v>
      </c>
      <c r="AA175" s="8">
        <v>450</v>
      </c>
      <c r="AB175" s="8">
        <v>772</v>
      </c>
      <c r="AC175" s="8">
        <v>970</v>
      </c>
      <c r="AD175" s="8">
        <v>719</v>
      </c>
      <c r="AE175" s="8">
        <v>741</v>
      </c>
      <c r="AF175" s="8">
        <v>765</v>
      </c>
      <c r="AG175" s="8">
        <v>559</v>
      </c>
      <c r="AH175" s="8">
        <v>619</v>
      </c>
      <c r="AI175" s="8">
        <v>452</v>
      </c>
      <c r="AJ175" s="8">
        <v>722</v>
      </c>
      <c r="AK175" s="8">
        <v>727</v>
      </c>
      <c r="AL175" s="8">
        <v>479</v>
      </c>
      <c r="AM175" s="8">
        <v>1081</v>
      </c>
      <c r="AN175" s="8">
        <v>786</v>
      </c>
      <c r="AO175" s="8">
        <v>686</v>
      </c>
      <c r="AP175" s="8">
        <v>896</v>
      </c>
      <c r="AQ175" s="8">
        <v>1068</v>
      </c>
      <c r="AR175" s="8">
        <v>834</v>
      </c>
      <c r="AS175" s="8">
        <v>697</v>
      </c>
      <c r="AT175" s="8">
        <v>617</v>
      </c>
      <c r="AU175" s="8">
        <v>529</v>
      </c>
      <c r="AV175" s="8">
        <v>714</v>
      </c>
      <c r="AW175" s="8">
        <v>580</v>
      </c>
      <c r="AX175" s="8">
        <v>803</v>
      </c>
      <c r="AY175" s="8">
        <v>1672</v>
      </c>
      <c r="AZ175" s="8">
        <v>981</v>
      </c>
      <c r="BA175" s="8">
        <v>622</v>
      </c>
      <c r="BB175" s="8">
        <v>1038</v>
      </c>
      <c r="BC175" s="8">
        <v>1434</v>
      </c>
      <c r="BD175" s="8">
        <v>1590</v>
      </c>
      <c r="BE175" s="8">
        <v>740</v>
      </c>
      <c r="BF175" s="8">
        <v>699</v>
      </c>
      <c r="BG175" s="8">
        <v>573</v>
      </c>
      <c r="BH175" s="8">
        <v>627</v>
      </c>
      <c r="BI175" s="8">
        <v>666</v>
      </c>
      <c r="BJ175" s="8">
        <v>861</v>
      </c>
      <c r="BK175" s="8">
        <v>607</v>
      </c>
      <c r="BL175" s="8">
        <v>735</v>
      </c>
      <c r="BM175" s="8">
        <v>865</v>
      </c>
      <c r="BN175" s="8">
        <v>485</v>
      </c>
      <c r="BO175" s="8">
        <v>914</v>
      </c>
      <c r="BP175" s="8">
        <v>516</v>
      </c>
      <c r="BQ175" s="8">
        <v>580</v>
      </c>
      <c r="BR175" s="8">
        <v>656</v>
      </c>
      <c r="BS175" s="8">
        <v>941</v>
      </c>
      <c r="BT175" s="8">
        <v>1063</v>
      </c>
      <c r="BU175" s="8">
        <v>662</v>
      </c>
      <c r="BV175" s="8">
        <v>704</v>
      </c>
      <c r="BW175" s="8">
        <v>741</v>
      </c>
      <c r="BX175" s="8">
        <v>1013</v>
      </c>
      <c r="BY175" s="8">
        <v>1205</v>
      </c>
      <c r="BZ175" s="8">
        <v>743</v>
      </c>
      <c r="CA175" s="8">
        <v>1268</v>
      </c>
      <c r="CB175" s="8">
        <v>981</v>
      </c>
      <c r="CC175" s="8">
        <v>469</v>
      </c>
      <c r="CD175" s="8">
        <v>603</v>
      </c>
      <c r="CE175" s="8">
        <v>708</v>
      </c>
      <c r="CF175" s="8">
        <v>926</v>
      </c>
      <c r="CG175" s="8">
        <v>949</v>
      </c>
      <c r="CH175" s="8">
        <v>753</v>
      </c>
      <c r="CJ175" s="9"/>
      <c r="CK175" s="9"/>
      <c r="CL175" s="9"/>
      <c r="CM175" s="9"/>
      <c r="CN175" s="9"/>
      <c r="CO175" s="9"/>
      <c r="CP175" s="9"/>
      <c r="CQ175" s="9"/>
      <c r="CR175" s="9"/>
      <c r="CS175" s="9"/>
      <c r="CT175" s="9"/>
      <c r="CU175" s="9"/>
      <c r="CV175" s="9"/>
      <c r="CW175" s="9"/>
      <c r="CX175" s="9"/>
      <c r="CY175" s="9"/>
      <c r="CZ175" s="9"/>
      <c r="DA175" s="9"/>
      <c r="DB175" s="9"/>
      <c r="DC175" s="9"/>
      <c r="DD175" s="9"/>
      <c r="DE175" s="9"/>
      <c r="DF175" s="9"/>
      <c r="DG175" s="9"/>
      <c r="DH175" s="9"/>
      <c r="DI175" s="9"/>
      <c r="DJ175" s="9"/>
      <c r="DK175" s="9"/>
      <c r="DL175" s="9"/>
      <c r="DM175" s="9"/>
      <c r="DN175" s="9"/>
      <c r="DO175" s="9"/>
      <c r="DP175" s="9"/>
      <c r="DQ175" s="9"/>
      <c r="DR175" s="9"/>
      <c r="DS175" s="9"/>
      <c r="DT175" s="9"/>
      <c r="DU175" s="9"/>
      <c r="DV175" s="9"/>
      <c r="DW175" s="9"/>
      <c r="DX175" s="9"/>
      <c r="DY175" s="9"/>
      <c r="DZ175" s="9"/>
      <c r="EA175" s="9"/>
      <c r="EB175" s="9"/>
      <c r="EC175" s="9"/>
      <c r="ED175" s="9"/>
      <c r="EE175" s="9"/>
      <c r="EF175" s="9"/>
      <c r="EG175" s="9"/>
      <c r="EH175" s="9"/>
      <c r="EI175" s="9"/>
      <c r="EJ175" s="9"/>
      <c r="EK175" s="9"/>
      <c r="EL175" s="9"/>
      <c r="EM175" s="9"/>
      <c r="EN175" s="9"/>
      <c r="EO175" s="9"/>
      <c r="EP175" s="9"/>
      <c r="EQ175" s="9"/>
      <c r="ER175" s="9"/>
      <c r="ES175" s="9"/>
      <c r="ET175" s="9"/>
      <c r="EU175" s="9"/>
      <c r="EV175" s="9"/>
      <c r="EW175" s="9"/>
      <c r="EX175" s="9"/>
      <c r="EY175" s="9"/>
      <c r="EZ175" s="9"/>
      <c r="FA175" s="9"/>
      <c r="FB175" s="9"/>
      <c r="FC175" s="9"/>
      <c r="FD175" s="9"/>
      <c r="FE175" s="9"/>
      <c r="FF175" s="9"/>
      <c r="FG175" s="9"/>
      <c r="FH175" s="9"/>
      <c r="FI175" s="9"/>
    </row>
    <row r="176" spans="1:165" x14ac:dyDescent="0.2">
      <c r="A176" s="1" t="s">
        <v>1390</v>
      </c>
      <c r="B176" s="1" t="s">
        <v>1391</v>
      </c>
      <c r="C176" s="1" t="s">
        <v>1392</v>
      </c>
      <c r="D176" s="1" t="str">
        <f>HYPERLINK("http://eros.fiehnlab.ucdavis.edu:8080/binbase-compound/bin/show/199942?db=rtx5","199942")</f>
        <v>199942</v>
      </c>
      <c r="E176" s="1" t="s">
        <v>1393</v>
      </c>
      <c r="F176" s="1" t="s">
        <v>184</v>
      </c>
      <c r="G176" s="1" t="s">
        <v>184</v>
      </c>
      <c r="H176" s="1"/>
      <c r="I176" s="8">
        <v>1554</v>
      </c>
      <c r="J176" s="8">
        <v>1065</v>
      </c>
      <c r="K176" s="8">
        <v>1554</v>
      </c>
      <c r="L176" s="8">
        <v>1049</v>
      </c>
      <c r="M176" s="8">
        <v>1726</v>
      </c>
      <c r="N176" s="8">
        <v>1416</v>
      </c>
      <c r="O176" s="8">
        <v>621</v>
      </c>
      <c r="P176" s="8">
        <v>1005</v>
      </c>
      <c r="Q176" s="8">
        <v>1451</v>
      </c>
      <c r="R176" s="8">
        <v>2176</v>
      </c>
      <c r="S176" s="8">
        <v>2251</v>
      </c>
      <c r="T176" s="8">
        <v>1194</v>
      </c>
      <c r="U176" s="8">
        <v>1666</v>
      </c>
      <c r="V176" s="8">
        <v>2141</v>
      </c>
      <c r="W176" s="8">
        <v>1908</v>
      </c>
      <c r="X176" s="8">
        <v>1644</v>
      </c>
      <c r="Y176" s="8">
        <v>1327</v>
      </c>
      <c r="Z176" s="8">
        <v>2223</v>
      </c>
      <c r="AA176" s="8">
        <v>722</v>
      </c>
      <c r="AB176" s="8">
        <v>727</v>
      </c>
      <c r="AC176" s="8">
        <v>1358</v>
      </c>
      <c r="AD176" s="8">
        <v>525</v>
      </c>
      <c r="AE176" s="8">
        <v>1335</v>
      </c>
      <c r="AF176" s="8">
        <v>1523</v>
      </c>
      <c r="AG176" s="8">
        <v>683</v>
      </c>
      <c r="AH176" s="8">
        <v>1495</v>
      </c>
      <c r="AI176" s="8">
        <v>909</v>
      </c>
      <c r="AJ176" s="8">
        <v>1688</v>
      </c>
      <c r="AK176" s="8">
        <v>1189</v>
      </c>
      <c r="AL176" s="8">
        <v>1534</v>
      </c>
      <c r="AM176" s="8">
        <v>1823</v>
      </c>
      <c r="AN176" s="8">
        <v>2495</v>
      </c>
      <c r="AO176" s="8">
        <v>789</v>
      </c>
      <c r="AP176" s="8">
        <v>1971</v>
      </c>
      <c r="AQ176" s="8">
        <v>1652</v>
      </c>
      <c r="AR176" s="8">
        <v>1698</v>
      </c>
      <c r="AS176" s="8">
        <v>1525</v>
      </c>
      <c r="AT176" s="8">
        <v>2314</v>
      </c>
      <c r="AU176" s="8">
        <v>1574</v>
      </c>
      <c r="AV176" s="8">
        <v>1096</v>
      </c>
      <c r="AW176" s="8">
        <v>2682</v>
      </c>
      <c r="AX176" s="8">
        <v>1918</v>
      </c>
      <c r="AY176" s="8">
        <v>1058</v>
      </c>
      <c r="AZ176" s="8">
        <v>1432</v>
      </c>
      <c r="BA176" s="8">
        <v>1513</v>
      </c>
      <c r="BB176" s="8">
        <v>1037</v>
      </c>
      <c r="BC176" s="8">
        <v>1534</v>
      </c>
      <c r="BD176" s="8">
        <v>1189</v>
      </c>
      <c r="BE176" s="8">
        <v>1338</v>
      </c>
      <c r="BF176" s="8">
        <v>1743</v>
      </c>
      <c r="BG176" s="8">
        <v>1038</v>
      </c>
      <c r="BH176" s="8">
        <v>840</v>
      </c>
      <c r="BI176" s="8">
        <v>1557</v>
      </c>
      <c r="BJ176" s="8">
        <v>1691</v>
      </c>
      <c r="BK176" s="8">
        <v>2068</v>
      </c>
      <c r="BL176" s="8">
        <v>1687</v>
      </c>
      <c r="BM176" s="8">
        <v>1450</v>
      </c>
      <c r="BN176" s="8">
        <v>1758</v>
      </c>
      <c r="BO176" s="8">
        <v>2092</v>
      </c>
      <c r="BP176" s="8">
        <v>2712</v>
      </c>
      <c r="BQ176" s="8">
        <v>2741</v>
      </c>
      <c r="BR176" s="8">
        <v>1805</v>
      </c>
      <c r="BS176" s="8">
        <v>2341</v>
      </c>
      <c r="BT176" s="8">
        <v>2280</v>
      </c>
      <c r="BU176" s="8">
        <v>1728</v>
      </c>
      <c r="BV176" s="8">
        <v>2670</v>
      </c>
      <c r="BW176" s="8">
        <v>1220</v>
      </c>
      <c r="BX176" s="8">
        <v>1097</v>
      </c>
      <c r="BY176" s="8">
        <v>1200</v>
      </c>
      <c r="BZ176" s="8">
        <v>1493</v>
      </c>
      <c r="CA176" s="8">
        <v>1633</v>
      </c>
      <c r="CB176" s="8">
        <v>1841</v>
      </c>
      <c r="CC176" s="8">
        <v>2344</v>
      </c>
      <c r="CD176" s="8">
        <v>1957</v>
      </c>
      <c r="CE176" s="8">
        <v>2396</v>
      </c>
      <c r="CF176" s="8">
        <v>845</v>
      </c>
      <c r="CG176" s="8">
        <v>1175</v>
      </c>
      <c r="CH176" s="8">
        <v>1829</v>
      </c>
      <c r="CJ176" s="9"/>
      <c r="CK176" s="9"/>
      <c r="CL176" s="9"/>
      <c r="CM176" s="9"/>
      <c r="CN176" s="9"/>
      <c r="CO176" s="9"/>
      <c r="CP176" s="9"/>
      <c r="CQ176" s="9"/>
      <c r="CR176" s="9"/>
      <c r="CS176" s="9"/>
      <c r="CT176" s="9"/>
      <c r="CU176" s="9"/>
      <c r="CV176" s="9"/>
      <c r="CW176" s="9"/>
      <c r="CX176" s="9"/>
      <c r="CY176" s="9"/>
      <c r="CZ176" s="9"/>
      <c r="DA176" s="9"/>
      <c r="DB176" s="9"/>
      <c r="DC176" s="9"/>
      <c r="DD176" s="9"/>
      <c r="DE176" s="9"/>
      <c r="DF176" s="9"/>
      <c r="DG176" s="9"/>
      <c r="DH176" s="9"/>
      <c r="DI176" s="9"/>
      <c r="DJ176" s="9"/>
      <c r="DK176" s="9"/>
      <c r="DL176" s="9"/>
      <c r="DM176" s="9"/>
      <c r="DN176" s="9"/>
      <c r="DO176" s="9"/>
      <c r="DP176" s="9"/>
      <c r="DQ176" s="9"/>
      <c r="DR176" s="9"/>
      <c r="DS176" s="9"/>
      <c r="DT176" s="9"/>
      <c r="DU176" s="9"/>
      <c r="DV176" s="9"/>
      <c r="DW176" s="9"/>
      <c r="DX176" s="9"/>
      <c r="DY176" s="9"/>
      <c r="DZ176" s="9"/>
      <c r="EA176" s="9"/>
      <c r="EB176" s="9"/>
      <c r="EC176" s="9"/>
      <c r="ED176" s="9"/>
      <c r="EE176" s="9"/>
      <c r="EF176" s="9"/>
      <c r="EG176" s="9"/>
      <c r="EH176" s="9"/>
      <c r="EI176" s="9"/>
      <c r="EJ176" s="9"/>
      <c r="EK176" s="9"/>
      <c r="EL176" s="9"/>
      <c r="EM176" s="9"/>
      <c r="EN176" s="9"/>
      <c r="EO176" s="9"/>
      <c r="EP176" s="9"/>
      <c r="EQ176" s="9"/>
      <c r="ER176" s="9"/>
      <c r="ES176" s="9"/>
      <c r="ET176" s="9"/>
      <c r="EU176" s="9"/>
      <c r="EV176" s="9"/>
      <c r="EW176" s="9"/>
      <c r="EX176" s="9"/>
      <c r="EY176" s="9"/>
      <c r="EZ176" s="9"/>
      <c r="FA176" s="9"/>
      <c r="FB176" s="9"/>
      <c r="FC176" s="9"/>
      <c r="FD176" s="9"/>
      <c r="FE176" s="9"/>
      <c r="FF176" s="9"/>
      <c r="FG176" s="9"/>
      <c r="FH176" s="9"/>
      <c r="FI176" s="9"/>
    </row>
    <row r="177" spans="1:165" x14ac:dyDescent="0.2">
      <c r="A177" s="1" t="s">
        <v>1293</v>
      </c>
      <c r="B177" s="1" t="s">
        <v>1294</v>
      </c>
      <c r="C177" s="1" t="s">
        <v>294</v>
      </c>
      <c r="D177" s="1" t="str">
        <f>HYPERLINK("http://eros.fiehnlab.ucdavis.edu:8080/binbase-compound/bin/show/213164?db=rtx5","213164")</f>
        <v>213164</v>
      </c>
      <c r="E177" s="1" t="s">
        <v>1295</v>
      </c>
      <c r="F177" s="1" t="s">
        <v>184</v>
      </c>
      <c r="G177" s="1" t="s">
        <v>184</v>
      </c>
      <c r="H177" s="1"/>
      <c r="I177" s="8">
        <v>636</v>
      </c>
      <c r="J177" s="8">
        <v>893</v>
      </c>
      <c r="K177" s="8">
        <v>1054</v>
      </c>
      <c r="L177" s="8">
        <v>1712</v>
      </c>
      <c r="M177" s="8">
        <v>742</v>
      </c>
      <c r="N177" s="8">
        <v>1016</v>
      </c>
      <c r="O177" s="8">
        <v>1602</v>
      </c>
      <c r="P177" s="8">
        <v>1837</v>
      </c>
      <c r="Q177" s="8">
        <v>1039</v>
      </c>
      <c r="R177" s="8">
        <v>1344</v>
      </c>
      <c r="S177" s="8">
        <v>1863</v>
      </c>
      <c r="T177" s="8">
        <v>1996</v>
      </c>
      <c r="U177" s="8">
        <v>2223</v>
      </c>
      <c r="V177" s="8">
        <v>1191</v>
      </c>
      <c r="W177" s="8">
        <v>556</v>
      </c>
      <c r="X177" s="8">
        <v>843</v>
      </c>
      <c r="Y177" s="8">
        <v>903</v>
      </c>
      <c r="Z177" s="8">
        <v>780</v>
      </c>
      <c r="AA177" s="8">
        <v>411</v>
      </c>
      <c r="AB177" s="8">
        <v>1497</v>
      </c>
      <c r="AC177" s="8">
        <v>898</v>
      </c>
      <c r="AD177" s="8">
        <v>1733</v>
      </c>
      <c r="AE177" s="8">
        <v>527</v>
      </c>
      <c r="AF177" s="8">
        <v>806</v>
      </c>
      <c r="AG177" s="8">
        <v>955</v>
      </c>
      <c r="AH177" s="8">
        <v>1366</v>
      </c>
      <c r="AI177" s="8">
        <v>1753</v>
      </c>
      <c r="AJ177" s="8">
        <v>648</v>
      </c>
      <c r="AK177" s="8">
        <v>984</v>
      </c>
      <c r="AL177" s="8">
        <v>1541</v>
      </c>
      <c r="AM177" s="8">
        <v>998</v>
      </c>
      <c r="AN177" s="8">
        <v>1740</v>
      </c>
      <c r="AO177" s="8">
        <v>2642</v>
      </c>
      <c r="AP177" s="8">
        <v>1163</v>
      </c>
      <c r="AQ177" s="8">
        <v>2663</v>
      </c>
      <c r="AR177" s="8">
        <v>2390</v>
      </c>
      <c r="AS177" s="8">
        <v>1251</v>
      </c>
      <c r="AT177" s="8">
        <v>1120</v>
      </c>
      <c r="AU177" s="8">
        <v>2143</v>
      </c>
      <c r="AV177" s="8">
        <v>2049</v>
      </c>
      <c r="AW177" s="8">
        <v>639</v>
      </c>
      <c r="AX177" s="8">
        <v>1680</v>
      </c>
      <c r="AY177" s="8">
        <v>2063</v>
      </c>
      <c r="AZ177" s="8">
        <v>788</v>
      </c>
      <c r="BA177" s="8">
        <v>1136</v>
      </c>
      <c r="BB177" s="8">
        <v>2451</v>
      </c>
      <c r="BC177" s="8">
        <v>2379</v>
      </c>
      <c r="BD177" s="8">
        <v>1686</v>
      </c>
      <c r="BE177" s="8">
        <v>1276</v>
      </c>
      <c r="BF177" s="8">
        <v>1409</v>
      </c>
      <c r="BG177" s="8">
        <v>1995</v>
      </c>
      <c r="BH177" s="8">
        <v>1913</v>
      </c>
      <c r="BI177" s="8">
        <v>1940</v>
      </c>
      <c r="BJ177" s="8">
        <v>2043</v>
      </c>
      <c r="BK177" s="8">
        <v>1810</v>
      </c>
      <c r="BL177" s="8">
        <v>3210</v>
      </c>
      <c r="BM177" s="8">
        <v>2094</v>
      </c>
      <c r="BN177" s="8">
        <v>631</v>
      </c>
      <c r="BO177" s="8">
        <v>1063</v>
      </c>
      <c r="BP177" s="8">
        <v>914</v>
      </c>
      <c r="BQ177" s="8">
        <v>719</v>
      </c>
      <c r="BR177" s="8">
        <v>1476</v>
      </c>
      <c r="BS177" s="8">
        <v>1119</v>
      </c>
      <c r="BT177" s="8">
        <v>1498</v>
      </c>
      <c r="BU177" s="8">
        <v>1695</v>
      </c>
      <c r="BV177" s="8">
        <v>2242</v>
      </c>
      <c r="BW177" s="8">
        <v>659</v>
      </c>
      <c r="BX177" s="8">
        <v>1130</v>
      </c>
      <c r="BY177" s="8">
        <v>1692</v>
      </c>
      <c r="BZ177" s="8">
        <v>542</v>
      </c>
      <c r="CA177" s="8">
        <v>731</v>
      </c>
      <c r="CB177" s="8">
        <v>1088</v>
      </c>
      <c r="CC177" s="8">
        <v>1276</v>
      </c>
      <c r="CD177" s="8">
        <v>1139</v>
      </c>
      <c r="CE177" s="8">
        <v>1637</v>
      </c>
      <c r="CF177" s="8">
        <v>2265</v>
      </c>
      <c r="CG177" s="8">
        <v>889</v>
      </c>
      <c r="CH177" s="8">
        <v>995</v>
      </c>
      <c r="CJ177" s="9"/>
      <c r="CK177" s="9"/>
      <c r="CL177" s="9"/>
      <c r="CM177" s="9"/>
      <c r="CN177" s="9"/>
      <c r="CO177" s="9"/>
      <c r="CP177" s="9"/>
      <c r="CQ177" s="9"/>
      <c r="CR177" s="9"/>
      <c r="CS177" s="9"/>
      <c r="CT177" s="9"/>
      <c r="CU177" s="9"/>
      <c r="CV177" s="9"/>
      <c r="CW177" s="9"/>
      <c r="CX177" s="9"/>
      <c r="CY177" s="9"/>
      <c r="CZ177" s="9"/>
      <c r="DA177" s="9"/>
      <c r="DB177" s="9"/>
      <c r="DC177" s="9"/>
      <c r="DD177" s="9"/>
      <c r="DE177" s="9"/>
      <c r="DF177" s="9"/>
      <c r="DG177" s="9"/>
      <c r="DH177" s="9"/>
      <c r="DI177" s="9"/>
      <c r="DJ177" s="9"/>
      <c r="DK177" s="9"/>
      <c r="DL177" s="9"/>
      <c r="DM177" s="9"/>
      <c r="DN177" s="9"/>
      <c r="DO177" s="9"/>
      <c r="DP177" s="9"/>
      <c r="DQ177" s="9"/>
      <c r="DR177" s="9"/>
      <c r="DS177" s="9"/>
      <c r="DT177" s="9"/>
      <c r="DU177" s="9"/>
      <c r="DV177" s="9"/>
      <c r="DW177" s="9"/>
      <c r="DX177" s="9"/>
      <c r="DY177" s="9"/>
      <c r="DZ177" s="9"/>
      <c r="EA177" s="9"/>
      <c r="EB177" s="9"/>
      <c r="EC177" s="9"/>
      <c r="ED177" s="9"/>
      <c r="EE177" s="9"/>
      <c r="EF177" s="9"/>
      <c r="EG177" s="9"/>
      <c r="EH177" s="9"/>
      <c r="EI177" s="9"/>
      <c r="EJ177" s="9"/>
      <c r="EK177" s="9"/>
      <c r="EL177" s="9"/>
      <c r="EM177" s="9"/>
      <c r="EN177" s="9"/>
      <c r="EO177" s="9"/>
      <c r="EP177" s="9"/>
      <c r="EQ177" s="9"/>
      <c r="ER177" s="9"/>
      <c r="ES177" s="9"/>
      <c r="ET177" s="9"/>
      <c r="EU177" s="9"/>
      <c r="EV177" s="9"/>
      <c r="EW177" s="9"/>
      <c r="EX177" s="9"/>
      <c r="EY177" s="9"/>
      <c r="EZ177" s="9"/>
      <c r="FA177" s="9"/>
      <c r="FB177" s="9"/>
      <c r="FC177" s="9"/>
      <c r="FD177" s="9"/>
      <c r="FE177" s="9"/>
      <c r="FF177" s="9"/>
      <c r="FG177" s="9"/>
      <c r="FH177" s="9"/>
      <c r="FI177" s="9"/>
    </row>
    <row r="178" spans="1:165" x14ac:dyDescent="0.2">
      <c r="A178" s="1" t="s">
        <v>774</v>
      </c>
      <c r="B178" s="1" t="s">
        <v>775</v>
      </c>
      <c r="C178" s="1" t="s">
        <v>286</v>
      </c>
      <c r="D178" s="1" t="str">
        <f>HYPERLINK("http://eros.fiehnlab.ucdavis.edu:8080/binbase-compound/bin/show/362128?db=rtx5","362128")</f>
        <v>362128</v>
      </c>
      <c r="E178" s="1" t="s">
        <v>776</v>
      </c>
      <c r="F178" s="1" t="s">
        <v>184</v>
      </c>
      <c r="G178" s="1" t="s">
        <v>184</v>
      </c>
      <c r="H178" s="1"/>
      <c r="I178" s="8">
        <v>6327</v>
      </c>
      <c r="J178" s="8">
        <v>4448</v>
      </c>
      <c r="K178" s="8">
        <v>9679</v>
      </c>
      <c r="L178" s="8">
        <v>9502</v>
      </c>
      <c r="M178" s="8">
        <v>8936</v>
      </c>
      <c r="N178" s="8">
        <v>6912</v>
      </c>
      <c r="O178" s="8">
        <v>14527</v>
      </c>
      <c r="P178" s="8">
        <v>13462</v>
      </c>
      <c r="Q178" s="8">
        <v>15526</v>
      </c>
      <c r="R178" s="8">
        <v>17344</v>
      </c>
      <c r="S178" s="8">
        <v>15149</v>
      </c>
      <c r="T178" s="8">
        <v>10258</v>
      </c>
      <c r="U178" s="8">
        <v>14640</v>
      </c>
      <c r="V178" s="8">
        <v>13607</v>
      </c>
      <c r="W178" s="8">
        <v>12320</v>
      </c>
      <c r="X178" s="8">
        <v>16754</v>
      </c>
      <c r="Y178" s="8">
        <v>11661</v>
      </c>
      <c r="Z178" s="8">
        <v>13602</v>
      </c>
      <c r="AA178" s="8">
        <v>13640</v>
      </c>
      <c r="AB178" s="8">
        <v>12949</v>
      </c>
      <c r="AC178" s="8">
        <v>15654</v>
      </c>
      <c r="AD178" s="8">
        <v>12714</v>
      </c>
      <c r="AE178" s="8">
        <v>14016</v>
      </c>
      <c r="AF178" s="8">
        <v>13512</v>
      </c>
      <c r="AG178" s="8">
        <v>12240</v>
      </c>
      <c r="AH178" s="8">
        <v>11478</v>
      </c>
      <c r="AI178" s="8">
        <v>16688</v>
      </c>
      <c r="AJ178" s="8">
        <v>17858</v>
      </c>
      <c r="AK178" s="8">
        <v>14509</v>
      </c>
      <c r="AL178" s="8">
        <v>15799</v>
      </c>
      <c r="AM178" s="8">
        <v>13080</v>
      </c>
      <c r="AN178" s="8">
        <v>17986</v>
      </c>
      <c r="AO178" s="8">
        <v>14559</v>
      </c>
      <c r="AP178" s="8">
        <v>14456</v>
      </c>
      <c r="AQ178" s="8">
        <v>18167</v>
      </c>
      <c r="AR178" s="8">
        <v>14372</v>
      </c>
      <c r="AS178" s="8">
        <v>18955</v>
      </c>
      <c r="AT178" s="8">
        <v>18208</v>
      </c>
      <c r="AU178" s="8">
        <v>15733</v>
      </c>
      <c r="AV178" s="8">
        <v>13359</v>
      </c>
      <c r="AW178" s="8">
        <v>22694</v>
      </c>
      <c r="AX178" s="8">
        <v>12442</v>
      </c>
      <c r="AY178" s="8">
        <v>14918</v>
      </c>
      <c r="AZ178" s="8">
        <v>18692</v>
      </c>
      <c r="BA178" s="8">
        <v>16287</v>
      </c>
      <c r="BB178" s="8">
        <v>14774</v>
      </c>
      <c r="BC178" s="8">
        <v>14607</v>
      </c>
      <c r="BD178" s="8">
        <v>14887</v>
      </c>
      <c r="BE178" s="8">
        <v>15332</v>
      </c>
      <c r="BF178" s="8">
        <v>13099</v>
      </c>
      <c r="BG178" s="8">
        <v>13625</v>
      </c>
      <c r="BH178" s="8">
        <v>12888</v>
      </c>
      <c r="BI178" s="8">
        <v>14837</v>
      </c>
      <c r="BJ178" s="8">
        <v>16883</v>
      </c>
      <c r="BK178" s="8">
        <v>13402</v>
      </c>
      <c r="BL178" s="8">
        <v>14571</v>
      </c>
      <c r="BM178" s="8">
        <v>13953</v>
      </c>
      <c r="BN178" s="8">
        <v>17762</v>
      </c>
      <c r="BO178" s="8">
        <v>18626</v>
      </c>
      <c r="BP178" s="8">
        <v>17823</v>
      </c>
      <c r="BQ178" s="8">
        <v>20365</v>
      </c>
      <c r="BR178" s="8">
        <v>14709</v>
      </c>
      <c r="BS178" s="8">
        <v>13853</v>
      </c>
      <c r="BT178" s="8">
        <v>16295</v>
      </c>
      <c r="BU178" s="8">
        <v>16512</v>
      </c>
      <c r="BV178" s="8">
        <v>18225</v>
      </c>
      <c r="BW178" s="8">
        <v>14837</v>
      </c>
      <c r="BX178" s="8">
        <v>14363</v>
      </c>
      <c r="BY178" s="8">
        <v>13098</v>
      </c>
      <c r="BZ178" s="8">
        <v>14290</v>
      </c>
      <c r="CA178" s="8">
        <v>14489</v>
      </c>
      <c r="CB178" s="8">
        <v>14684</v>
      </c>
      <c r="CC178" s="8">
        <v>14289</v>
      </c>
      <c r="CD178" s="8">
        <v>16643</v>
      </c>
      <c r="CE178" s="8">
        <v>12259</v>
      </c>
      <c r="CF178" s="8">
        <v>12988</v>
      </c>
      <c r="CG178" s="8">
        <v>12727</v>
      </c>
      <c r="CH178" s="8">
        <v>15775</v>
      </c>
      <c r="CJ178" s="9"/>
      <c r="CK178" s="9"/>
      <c r="CL178" s="9"/>
      <c r="CM178" s="9"/>
      <c r="CN178" s="9"/>
      <c r="CO178" s="9"/>
      <c r="CP178" s="9"/>
      <c r="CQ178" s="9"/>
      <c r="CR178" s="9"/>
      <c r="CS178" s="9"/>
      <c r="CT178" s="9"/>
      <c r="CU178" s="9"/>
      <c r="CV178" s="9"/>
      <c r="CW178" s="9"/>
      <c r="CX178" s="9"/>
      <c r="CY178" s="9"/>
      <c r="CZ178" s="9"/>
      <c r="DA178" s="9"/>
      <c r="DB178" s="9"/>
      <c r="DC178" s="9"/>
      <c r="DD178" s="9"/>
      <c r="DE178" s="9"/>
      <c r="DF178" s="9"/>
      <c r="DG178" s="9"/>
      <c r="DH178" s="9"/>
      <c r="DI178" s="9"/>
      <c r="DJ178" s="9"/>
      <c r="DK178" s="9"/>
      <c r="DL178" s="9"/>
      <c r="DM178" s="9"/>
      <c r="DN178" s="9"/>
      <c r="DO178" s="9"/>
      <c r="DP178" s="9"/>
      <c r="DQ178" s="9"/>
      <c r="DR178" s="9"/>
      <c r="DS178" s="9"/>
      <c r="DT178" s="9"/>
      <c r="DU178" s="9"/>
      <c r="DV178" s="9"/>
      <c r="DW178" s="9"/>
      <c r="DX178" s="9"/>
      <c r="DY178" s="9"/>
      <c r="DZ178" s="9"/>
      <c r="EA178" s="9"/>
      <c r="EB178" s="9"/>
      <c r="EC178" s="9"/>
      <c r="ED178" s="9"/>
      <c r="EE178" s="9"/>
      <c r="EF178" s="9"/>
      <c r="EG178" s="9"/>
      <c r="EH178" s="9"/>
      <c r="EI178" s="9"/>
      <c r="EJ178" s="9"/>
      <c r="EK178" s="9"/>
      <c r="EL178" s="9"/>
      <c r="EM178" s="9"/>
      <c r="EN178" s="9"/>
      <c r="EO178" s="9"/>
      <c r="EP178" s="9"/>
      <c r="EQ178" s="9"/>
      <c r="ER178" s="9"/>
      <c r="ES178" s="9"/>
      <c r="ET178" s="9"/>
      <c r="EU178" s="9"/>
      <c r="EV178" s="9"/>
      <c r="EW178" s="9"/>
      <c r="EX178" s="9"/>
      <c r="EY178" s="9"/>
      <c r="EZ178" s="9"/>
      <c r="FA178" s="9"/>
      <c r="FB178" s="9"/>
      <c r="FC178" s="9"/>
      <c r="FD178" s="9"/>
      <c r="FE178" s="9"/>
      <c r="FF178" s="9"/>
      <c r="FG178" s="9"/>
      <c r="FH178" s="9"/>
      <c r="FI178" s="9"/>
    </row>
    <row r="179" spans="1:165" x14ac:dyDescent="0.2">
      <c r="A179" s="1" t="s">
        <v>717</v>
      </c>
      <c r="B179" s="1" t="s">
        <v>718</v>
      </c>
      <c r="C179" s="1" t="s">
        <v>719</v>
      </c>
      <c r="D179" s="1" t="str">
        <f>HYPERLINK("http://eros.fiehnlab.ucdavis.edu:8080/binbase-compound/bin/show/371802?db=rtx5","371802")</f>
        <v>371802</v>
      </c>
      <c r="E179" s="1" t="s">
        <v>720</v>
      </c>
      <c r="F179" s="1" t="s">
        <v>184</v>
      </c>
      <c r="G179" s="1" t="s">
        <v>184</v>
      </c>
      <c r="H179" s="1"/>
      <c r="I179" s="8">
        <v>991</v>
      </c>
      <c r="J179" s="8">
        <v>1206</v>
      </c>
      <c r="K179" s="8">
        <v>242</v>
      </c>
      <c r="L179" s="8">
        <v>368</v>
      </c>
      <c r="M179" s="8">
        <v>1404</v>
      </c>
      <c r="N179" s="8">
        <v>263</v>
      </c>
      <c r="O179" s="8">
        <v>377</v>
      </c>
      <c r="P179" s="8">
        <v>408</v>
      </c>
      <c r="Q179" s="8">
        <v>594</v>
      </c>
      <c r="R179" s="8">
        <v>606</v>
      </c>
      <c r="S179" s="8">
        <v>827</v>
      </c>
      <c r="T179" s="8">
        <v>392</v>
      </c>
      <c r="U179" s="8">
        <v>1198</v>
      </c>
      <c r="V179" s="8">
        <v>1041</v>
      </c>
      <c r="W179" s="8">
        <v>1082</v>
      </c>
      <c r="X179" s="8">
        <v>863</v>
      </c>
      <c r="Y179" s="8">
        <v>462</v>
      </c>
      <c r="Z179" s="8">
        <v>308</v>
      </c>
      <c r="AA179" s="8">
        <v>240</v>
      </c>
      <c r="AB179" s="8">
        <v>1114</v>
      </c>
      <c r="AC179" s="8">
        <v>467</v>
      </c>
      <c r="AD179" s="8">
        <v>167</v>
      </c>
      <c r="AE179" s="8">
        <v>1002</v>
      </c>
      <c r="AF179" s="8">
        <v>583</v>
      </c>
      <c r="AG179" s="8">
        <v>382</v>
      </c>
      <c r="AH179" s="8">
        <v>515</v>
      </c>
      <c r="AI179" s="8">
        <v>356</v>
      </c>
      <c r="AJ179" s="8">
        <v>703</v>
      </c>
      <c r="AK179" s="8">
        <v>585</v>
      </c>
      <c r="AL179" s="8">
        <v>706</v>
      </c>
      <c r="AM179" s="8">
        <v>1449</v>
      </c>
      <c r="AN179" s="8">
        <v>974</v>
      </c>
      <c r="AO179" s="8">
        <v>583</v>
      </c>
      <c r="AP179" s="8">
        <v>1440</v>
      </c>
      <c r="AQ179" s="8">
        <v>485</v>
      </c>
      <c r="AR179" s="8">
        <v>500</v>
      </c>
      <c r="AS179" s="8">
        <v>663</v>
      </c>
      <c r="AT179" s="8">
        <v>715</v>
      </c>
      <c r="AU179" s="8">
        <v>602</v>
      </c>
      <c r="AV179" s="8">
        <v>220</v>
      </c>
      <c r="AW179" s="8">
        <v>296</v>
      </c>
      <c r="AX179" s="8">
        <v>143</v>
      </c>
      <c r="AY179" s="8">
        <v>652</v>
      </c>
      <c r="AZ179" s="8">
        <v>938</v>
      </c>
      <c r="BA179" s="8">
        <v>633</v>
      </c>
      <c r="BB179" s="8">
        <v>778</v>
      </c>
      <c r="BC179" s="8">
        <v>652</v>
      </c>
      <c r="BD179" s="8">
        <v>596</v>
      </c>
      <c r="BE179" s="8">
        <v>237</v>
      </c>
      <c r="BF179" s="8">
        <v>869</v>
      </c>
      <c r="BG179" s="8">
        <v>536</v>
      </c>
      <c r="BH179" s="8">
        <v>680</v>
      </c>
      <c r="BI179" s="8">
        <v>523</v>
      </c>
      <c r="BJ179" s="8">
        <v>495</v>
      </c>
      <c r="BK179" s="8">
        <v>827</v>
      </c>
      <c r="BL179" s="8">
        <v>1237</v>
      </c>
      <c r="BM179" s="8">
        <v>207</v>
      </c>
      <c r="BN179" s="8">
        <v>436</v>
      </c>
      <c r="BO179" s="8">
        <v>317</v>
      </c>
      <c r="BP179" s="8">
        <v>622</v>
      </c>
      <c r="BQ179" s="8">
        <v>1134</v>
      </c>
      <c r="BR179" s="8">
        <v>982</v>
      </c>
      <c r="BS179" s="8">
        <v>698</v>
      </c>
      <c r="BT179" s="8">
        <v>771</v>
      </c>
      <c r="BU179" s="8">
        <v>757</v>
      </c>
      <c r="BV179" s="8">
        <v>506</v>
      </c>
      <c r="BW179" s="8">
        <v>933</v>
      </c>
      <c r="BX179" s="8">
        <v>567</v>
      </c>
      <c r="BY179" s="8">
        <v>869</v>
      </c>
      <c r="BZ179" s="8">
        <v>220</v>
      </c>
      <c r="CA179" s="8">
        <v>788</v>
      </c>
      <c r="CB179" s="8">
        <v>527</v>
      </c>
      <c r="CC179" s="8">
        <v>651</v>
      </c>
      <c r="CD179" s="8">
        <v>491</v>
      </c>
      <c r="CE179" s="8">
        <v>558</v>
      </c>
      <c r="CF179" s="8">
        <v>490</v>
      </c>
      <c r="CG179" s="8">
        <v>990</v>
      </c>
      <c r="CH179" s="8">
        <v>477</v>
      </c>
      <c r="CJ179" s="9"/>
      <c r="CK179" s="9"/>
      <c r="CL179" s="9"/>
      <c r="CM179" s="9"/>
      <c r="CN179" s="9"/>
      <c r="CO179" s="9"/>
      <c r="CP179" s="9"/>
      <c r="CQ179" s="9"/>
      <c r="CR179" s="9"/>
      <c r="CS179" s="9"/>
      <c r="CT179" s="9"/>
      <c r="CU179" s="9"/>
      <c r="CV179" s="9"/>
      <c r="CW179" s="9"/>
      <c r="CX179" s="9"/>
      <c r="CY179" s="9"/>
      <c r="CZ179" s="9"/>
      <c r="DA179" s="9"/>
      <c r="DB179" s="9"/>
      <c r="DC179" s="9"/>
      <c r="DD179" s="9"/>
      <c r="DE179" s="9"/>
      <c r="DF179" s="9"/>
      <c r="DG179" s="9"/>
      <c r="DH179" s="9"/>
      <c r="DI179" s="9"/>
      <c r="DJ179" s="9"/>
      <c r="DK179" s="9"/>
      <c r="DL179" s="9"/>
      <c r="DM179" s="9"/>
      <c r="DN179" s="9"/>
      <c r="DO179" s="9"/>
      <c r="DP179" s="9"/>
      <c r="DQ179" s="9"/>
      <c r="DR179" s="9"/>
      <c r="DS179" s="9"/>
      <c r="DT179" s="9"/>
      <c r="DU179" s="9"/>
      <c r="DV179" s="9"/>
      <c r="DW179" s="9"/>
      <c r="DX179" s="9"/>
      <c r="DY179" s="9"/>
      <c r="DZ179" s="9"/>
      <c r="EA179" s="9"/>
      <c r="EB179" s="9"/>
      <c r="EC179" s="9"/>
      <c r="ED179" s="9"/>
      <c r="EE179" s="9"/>
      <c r="EF179" s="9"/>
      <c r="EG179" s="9"/>
      <c r="EH179" s="9"/>
      <c r="EI179" s="9"/>
      <c r="EJ179" s="9"/>
      <c r="EK179" s="9"/>
      <c r="EL179" s="9"/>
      <c r="EM179" s="9"/>
      <c r="EN179" s="9"/>
      <c r="EO179" s="9"/>
      <c r="EP179" s="9"/>
      <c r="EQ179" s="9"/>
      <c r="ER179" s="9"/>
      <c r="ES179" s="9"/>
      <c r="ET179" s="9"/>
      <c r="EU179" s="9"/>
      <c r="EV179" s="9"/>
      <c r="EW179" s="9"/>
      <c r="EX179" s="9"/>
      <c r="EY179" s="9"/>
      <c r="EZ179" s="9"/>
      <c r="FA179" s="9"/>
      <c r="FB179" s="9"/>
      <c r="FC179" s="9"/>
      <c r="FD179" s="9"/>
      <c r="FE179" s="9"/>
      <c r="FF179" s="9"/>
      <c r="FG179" s="9"/>
      <c r="FH179" s="9"/>
      <c r="FI179" s="9"/>
    </row>
    <row r="180" spans="1:165" x14ac:dyDescent="0.2">
      <c r="A180" s="1" t="s">
        <v>1013</v>
      </c>
      <c r="B180" s="1" t="s">
        <v>1014</v>
      </c>
      <c r="C180" s="1" t="s">
        <v>294</v>
      </c>
      <c r="D180" s="1" t="str">
        <f>HYPERLINK("http://eros.fiehnlab.ucdavis.edu:8080/binbase-compound/bin/show/269936?db=rtx5","269936")</f>
        <v>269936</v>
      </c>
      <c r="E180" s="1" t="s">
        <v>1015</v>
      </c>
      <c r="F180" s="1" t="s">
        <v>184</v>
      </c>
      <c r="G180" s="1" t="s">
        <v>184</v>
      </c>
      <c r="H180" s="1"/>
      <c r="I180" s="8">
        <v>300</v>
      </c>
      <c r="J180" s="8">
        <v>478</v>
      </c>
      <c r="K180" s="8">
        <v>561</v>
      </c>
      <c r="L180" s="8">
        <v>358</v>
      </c>
      <c r="M180" s="8">
        <v>467</v>
      </c>
      <c r="N180" s="8">
        <v>556</v>
      </c>
      <c r="O180" s="8">
        <v>509</v>
      </c>
      <c r="P180" s="8">
        <v>516</v>
      </c>
      <c r="Q180" s="8">
        <v>638</v>
      </c>
      <c r="R180" s="8">
        <v>805</v>
      </c>
      <c r="S180" s="8">
        <v>791</v>
      </c>
      <c r="T180" s="8">
        <v>466</v>
      </c>
      <c r="U180" s="8">
        <v>618</v>
      </c>
      <c r="V180" s="8">
        <v>632</v>
      </c>
      <c r="W180" s="8">
        <v>519</v>
      </c>
      <c r="X180" s="8">
        <v>526</v>
      </c>
      <c r="Y180" s="8">
        <v>538</v>
      </c>
      <c r="Z180" s="8">
        <v>784</v>
      </c>
      <c r="AA180" s="8">
        <v>303</v>
      </c>
      <c r="AB180" s="8">
        <v>583</v>
      </c>
      <c r="AC180" s="8">
        <v>808</v>
      </c>
      <c r="AD180" s="8">
        <v>567</v>
      </c>
      <c r="AE180" s="8">
        <v>479</v>
      </c>
      <c r="AF180" s="8">
        <v>562</v>
      </c>
      <c r="AG180" s="8">
        <v>243</v>
      </c>
      <c r="AH180" s="8">
        <v>630</v>
      </c>
      <c r="AI180" s="8">
        <v>537</v>
      </c>
      <c r="AJ180" s="8">
        <v>413</v>
      </c>
      <c r="AK180" s="8">
        <v>445</v>
      </c>
      <c r="AL180" s="8">
        <v>899</v>
      </c>
      <c r="AM180" s="8">
        <v>968</v>
      </c>
      <c r="AN180" s="8">
        <v>887</v>
      </c>
      <c r="AO180" s="8">
        <v>931</v>
      </c>
      <c r="AP180" s="8">
        <v>670</v>
      </c>
      <c r="AQ180" s="8">
        <v>1011</v>
      </c>
      <c r="AR180" s="8">
        <v>907</v>
      </c>
      <c r="AS180" s="8">
        <v>655</v>
      </c>
      <c r="AT180" s="8">
        <v>1003</v>
      </c>
      <c r="AU180" s="8">
        <v>780</v>
      </c>
      <c r="AV180" s="8">
        <v>777</v>
      </c>
      <c r="AW180" s="8">
        <v>586</v>
      </c>
      <c r="AX180" s="8">
        <v>739</v>
      </c>
      <c r="AY180" s="8">
        <v>937</v>
      </c>
      <c r="AZ180" s="8">
        <v>694</v>
      </c>
      <c r="BA180" s="8">
        <v>944</v>
      </c>
      <c r="BB180" s="8">
        <v>982</v>
      </c>
      <c r="BC180" s="8">
        <v>1112</v>
      </c>
      <c r="BD180" s="8">
        <v>1159</v>
      </c>
      <c r="BE180" s="8">
        <v>449</v>
      </c>
      <c r="BF180" s="8">
        <v>358</v>
      </c>
      <c r="BG180" s="8">
        <v>430</v>
      </c>
      <c r="BH180" s="8">
        <v>543</v>
      </c>
      <c r="BI180" s="8">
        <v>510</v>
      </c>
      <c r="BJ180" s="8">
        <v>556</v>
      </c>
      <c r="BK180" s="8">
        <v>690</v>
      </c>
      <c r="BL180" s="8">
        <v>646</v>
      </c>
      <c r="BM180" s="8">
        <v>785</v>
      </c>
      <c r="BN180" s="8">
        <v>507</v>
      </c>
      <c r="BO180" s="8">
        <v>647</v>
      </c>
      <c r="BP180" s="8">
        <v>1049</v>
      </c>
      <c r="BQ180" s="8">
        <v>372</v>
      </c>
      <c r="BR180" s="8">
        <v>642</v>
      </c>
      <c r="BS180" s="8">
        <v>618</v>
      </c>
      <c r="BT180" s="8">
        <v>695</v>
      </c>
      <c r="BU180" s="8">
        <v>718</v>
      </c>
      <c r="BV180" s="8">
        <v>765</v>
      </c>
      <c r="BW180" s="8">
        <v>517</v>
      </c>
      <c r="BX180" s="8">
        <v>866</v>
      </c>
      <c r="BY180" s="8">
        <v>704</v>
      </c>
      <c r="BZ180" s="8">
        <v>488</v>
      </c>
      <c r="CA180" s="8">
        <v>848</v>
      </c>
      <c r="CB180" s="8">
        <v>771</v>
      </c>
      <c r="CC180" s="8">
        <v>425</v>
      </c>
      <c r="CD180" s="8">
        <v>497</v>
      </c>
      <c r="CE180" s="8">
        <v>469</v>
      </c>
      <c r="CF180" s="8">
        <v>341</v>
      </c>
      <c r="CG180" s="8">
        <v>326</v>
      </c>
      <c r="CH180" s="8">
        <v>500</v>
      </c>
      <c r="CJ180" s="9"/>
      <c r="CK180" s="9"/>
      <c r="CL180" s="9"/>
      <c r="CM180" s="9"/>
      <c r="CN180" s="9"/>
      <c r="CO180" s="9"/>
      <c r="CP180" s="9"/>
      <c r="CQ180" s="9"/>
      <c r="CR180" s="9"/>
      <c r="CS180" s="9"/>
      <c r="CT180" s="9"/>
      <c r="CU180" s="9"/>
      <c r="CV180" s="9"/>
      <c r="CW180" s="9"/>
      <c r="CX180" s="9"/>
      <c r="CY180" s="9"/>
      <c r="CZ180" s="9"/>
      <c r="DA180" s="9"/>
      <c r="DB180" s="9"/>
      <c r="DC180" s="9"/>
      <c r="DD180" s="9"/>
      <c r="DE180" s="9"/>
      <c r="DF180" s="9"/>
      <c r="DG180" s="9"/>
      <c r="DH180" s="9"/>
      <c r="DI180" s="9"/>
      <c r="DJ180" s="9"/>
      <c r="DK180" s="9"/>
      <c r="DL180" s="9"/>
      <c r="DM180" s="9"/>
      <c r="DN180" s="9"/>
      <c r="DO180" s="9"/>
      <c r="DP180" s="9"/>
      <c r="DQ180" s="9"/>
      <c r="DR180" s="9"/>
      <c r="DS180" s="9"/>
      <c r="DT180" s="9"/>
      <c r="DU180" s="9"/>
      <c r="DV180" s="9"/>
      <c r="DW180" s="9"/>
      <c r="DX180" s="9"/>
      <c r="DY180" s="9"/>
      <c r="DZ180" s="9"/>
      <c r="EA180" s="9"/>
      <c r="EB180" s="9"/>
      <c r="EC180" s="9"/>
      <c r="ED180" s="9"/>
      <c r="EE180" s="9"/>
      <c r="EF180" s="9"/>
      <c r="EG180" s="9"/>
      <c r="EH180" s="9"/>
      <c r="EI180" s="9"/>
      <c r="EJ180" s="9"/>
      <c r="EK180" s="9"/>
      <c r="EL180" s="9"/>
      <c r="EM180" s="9"/>
      <c r="EN180" s="9"/>
      <c r="EO180" s="9"/>
      <c r="EP180" s="9"/>
      <c r="EQ180" s="9"/>
      <c r="ER180" s="9"/>
      <c r="ES180" s="9"/>
      <c r="ET180" s="9"/>
      <c r="EU180" s="9"/>
      <c r="EV180" s="9"/>
      <c r="EW180" s="9"/>
      <c r="EX180" s="9"/>
      <c r="EY180" s="9"/>
      <c r="EZ180" s="9"/>
      <c r="FA180" s="9"/>
      <c r="FB180" s="9"/>
      <c r="FC180" s="9"/>
      <c r="FD180" s="9"/>
      <c r="FE180" s="9"/>
      <c r="FF180" s="9"/>
      <c r="FG180" s="9"/>
      <c r="FH180" s="9"/>
      <c r="FI180" s="9"/>
    </row>
    <row r="181" spans="1:165" x14ac:dyDescent="0.2">
      <c r="A181" s="1" t="s">
        <v>1219</v>
      </c>
      <c r="B181" s="1" t="s">
        <v>1220</v>
      </c>
      <c r="C181" s="1" t="s">
        <v>271</v>
      </c>
      <c r="D181" s="1" t="str">
        <f>HYPERLINK("http://eros.fiehnlab.ucdavis.edu:8080/binbase-compound/bin/show/222169?db=rtx5","222169")</f>
        <v>222169</v>
      </c>
      <c r="E181" s="1" t="s">
        <v>1221</v>
      </c>
      <c r="F181" s="1" t="s">
        <v>184</v>
      </c>
      <c r="G181" s="1" t="s">
        <v>184</v>
      </c>
      <c r="H181" s="1"/>
      <c r="I181" s="8">
        <v>1174</v>
      </c>
      <c r="J181" s="8">
        <v>5291</v>
      </c>
      <c r="K181" s="8">
        <v>2903</v>
      </c>
      <c r="L181" s="8">
        <v>1252</v>
      </c>
      <c r="M181" s="8">
        <v>6729</v>
      </c>
      <c r="N181" s="8">
        <v>2735</v>
      </c>
      <c r="O181" s="8">
        <v>1563</v>
      </c>
      <c r="P181" s="8">
        <v>3270</v>
      </c>
      <c r="Q181" s="8">
        <v>1173</v>
      </c>
      <c r="R181" s="8">
        <v>5861</v>
      </c>
      <c r="S181" s="8">
        <v>4455</v>
      </c>
      <c r="T181" s="8">
        <v>1460</v>
      </c>
      <c r="U181" s="8">
        <v>2531</v>
      </c>
      <c r="V181" s="8">
        <v>1802</v>
      </c>
      <c r="W181" s="8">
        <v>618</v>
      </c>
      <c r="X181" s="8">
        <v>778</v>
      </c>
      <c r="Y181" s="8">
        <v>2961</v>
      </c>
      <c r="Z181" s="8">
        <v>1827</v>
      </c>
      <c r="AA181" s="8">
        <v>1163</v>
      </c>
      <c r="AB181" s="8">
        <v>815</v>
      </c>
      <c r="AC181" s="8">
        <v>1669</v>
      </c>
      <c r="AD181" s="8">
        <v>5539</v>
      </c>
      <c r="AE181" s="8">
        <v>832</v>
      </c>
      <c r="AF181" s="8">
        <v>2910</v>
      </c>
      <c r="AG181" s="8">
        <v>2508</v>
      </c>
      <c r="AH181" s="8">
        <v>710</v>
      </c>
      <c r="AI181" s="8">
        <v>3305</v>
      </c>
      <c r="AJ181" s="8">
        <v>958</v>
      </c>
      <c r="AK181" s="8">
        <v>2463</v>
      </c>
      <c r="AL181" s="8">
        <v>756</v>
      </c>
      <c r="AM181" s="8">
        <v>22239</v>
      </c>
      <c r="AN181" s="8">
        <v>1087</v>
      </c>
      <c r="AO181" s="8">
        <v>753</v>
      </c>
      <c r="AP181" s="8">
        <v>2175</v>
      </c>
      <c r="AQ181" s="8">
        <v>9748</v>
      </c>
      <c r="AR181" s="8">
        <v>672</v>
      </c>
      <c r="AS181" s="8">
        <v>14168</v>
      </c>
      <c r="AT181" s="8">
        <v>1084</v>
      </c>
      <c r="AU181" s="8">
        <v>3768</v>
      </c>
      <c r="AV181" s="8">
        <v>2141</v>
      </c>
      <c r="AW181" s="8">
        <v>594</v>
      </c>
      <c r="AX181" s="8">
        <v>8878</v>
      </c>
      <c r="AY181" s="8">
        <v>3276</v>
      </c>
      <c r="AZ181" s="8">
        <v>6372</v>
      </c>
      <c r="BA181" s="8">
        <v>4297</v>
      </c>
      <c r="BB181" s="8">
        <v>7662</v>
      </c>
      <c r="BC181" s="8">
        <v>8829</v>
      </c>
      <c r="BD181" s="8">
        <v>4877</v>
      </c>
      <c r="BE181" s="8">
        <v>5185</v>
      </c>
      <c r="BF181" s="8">
        <v>665</v>
      </c>
      <c r="BG181" s="8">
        <v>2643</v>
      </c>
      <c r="BH181" s="8">
        <v>4058</v>
      </c>
      <c r="BI181" s="8">
        <v>4700</v>
      </c>
      <c r="BJ181" s="8">
        <v>19523</v>
      </c>
      <c r="BK181" s="8">
        <v>1656</v>
      </c>
      <c r="BL181" s="8">
        <v>2975</v>
      </c>
      <c r="BM181" s="8">
        <v>1119</v>
      </c>
      <c r="BN181" s="8">
        <v>2328</v>
      </c>
      <c r="BO181" s="8">
        <v>2793</v>
      </c>
      <c r="BP181" s="8">
        <v>789</v>
      </c>
      <c r="BQ181" s="8">
        <v>872</v>
      </c>
      <c r="BR181" s="8">
        <v>2408</v>
      </c>
      <c r="BS181" s="8">
        <v>9190</v>
      </c>
      <c r="BT181" s="8">
        <v>1780</v>
      </c>
      <c r="BU181" s="8">
        <v>1508</v>
      </c>
      <c r="BV181" s="8">
        <v>898</v>
      </c>
      <c r="BW181" s="8">
        <v>4336</v>
      </c>
      <c r="BX181" s="8">
        <v>1879</v>
      </c>
      <c r="BY181" s="8">
        <v>1148</v>
      </c>
      <c r="BZ181" s="8">
        <v>1480</v>
      </c>
      <c r="CA181" s="8">
        <v>552</v>
      </c>
      <c r="CB181" s="8">
        <v>605</v>
      </c>
      <c r="CC181" s="8">
        <v>5451</v>
      </c>
      <c r="CD181" s="8">
        <v>5027</v>
      </c>
      <c r="CE181" s="8">
        <v>727</v>
      </c>
      <c r="CF181" s="8">
        <v>4506</v>
      </c>
      <c r="CG181" s="8">
        <v>3389</v>
      </c>
      <c r="CH181" s="8">
        <v>742</v>
      </c>
      <c r="CJ181" s="9"/>
      <c r="CK181" s="9"/>
      <c r="CL181" s="9"/>
      <c r="CM181" s="9"/>
      <c r="CN181" s="9"/>
      <c r="CO181" s="9"/>
      <c r="CP181" s="9"/>
      <c r="CQ181" s="9"/>
      <c r="CR181" s="9"/>
      <c r="CS181" s="9"/>
      <c r="CT181" s="9"/>
      <c r="CU181" s="9"/>
      <c r="CV181" s="9"/>
      <c r="CW181" s="9"/>
      <c r="CX181" s="9"/>
      <c r="CY181" s="9"/>
      <c r="CZ181" s="9"/>
      <c r="DA181" s="9"/>
      <c r="DB181" s="9"/>
      <c r="DC181" s="9"/>
      <c r="DD181" s="9"/>
      <c r="DE181" s="9"/>
      <c r="DF181" s="9"/>
      <c r="DG181" s="9"/>
      <c r="DH181" s="9"/>
      <c r="DI181" s="9"/>
      <c r="DJ181" s="9"/>
      <c r="DK181" s="9"/>
      <c r="DL181" s="9"/>
      <c r="DM181" s="9"/>
      <c r="DN181" s="9"/>
      <c r="DO181" s="9"/>
      <c r="DP181" s="9"/>
      <c r="DQ181" s="9"/>
      <c r="DR181" s="9"/>
      <c r="DS181" s="9"/>
      <c r="DT181" s="9"/>
      <c r="DU181" s="9"/>
      <c r="DV181" s="9"/>
      <c r="DW181" s="9"/>
      <c r="DX181" s="9"/>
      <c r="DY181" s="9"/>
      <c r="DZ181" s="9"/>
      <c r="EA181" s="9"/>
      <c r="EB181" s="9"/>
      <c r="EC181" s="9"/>
      <c r="ED181" s="9"/>
      <c r="EE181" s="9"/>
      <c r="EF181" s="9"/>
      <c r="EG181" s="9"/>
      <c r="EH181" s="9"/>
      <c r="EI181" s="9"/>
      <c r="EJ181" s="9"/>
      <c r="EK181" s="9"/>
      <c r="EL181" s="9"/>
      <c r="EM181" s="9"/>
      <c r="EN181" s="9"/>
      <c r="EO181" s="9"/>
      <c r="EP181" s="9"/>
      <c r="EQ181" s="9"/>
      <c r="ER181" s="9"/>
      <c r="ES181" s="9"/>
      <c r="ET181" s="9"/>
      <c r="EU181" s="9"/>
      <c r="EV181" s="9"/>
      <c r="EW181" s="9"/>
      <c r="EX181" s="9"/>
      <c r="EY181" s="9"/>
      <c r="EZ181" s="9"/>
      <c r="FA181" s="9"/>
      <c r="FB181" s="9"/>
      <c r="FC181" s="9"/>
      <c r="FD181" s="9"/>
      <c r="FE181" s="9"/>
      <c r="FF181" s="9"/>
      <c r="FG181" s="9"/>
      <c r="FH181" s="9"/>
      <c r="FI181" s="9"/>
    </row>
    <row r="182" spans="1:165" x14ac:dyDescent="0.2">
      <c r="A182" s="1" t="s">
        <v>761</v>
      </c>
      <c r="B182" s="1" t="s">
        <v>762</v>
      </c>
      <c r="C182" s="1" t="s">
        <v>390</v>
      </c>
      <c r="D182" s="1" t="str">
        <f>HYPERLINK("http://eros.fiehnlab.ucdavis.edu:8080/binbase-compound/bin/show/367920?db=rtx5","367920")</f>
        <v>367920</v>
      </c>
      <c r="E182" s="1" t="s">
        <v>763</v>
      </c>
      <c r="F182" s="1" t="s">
        <v>184</v>
      </c>
      <c r="G182" s="1" t="s">
        <v>184</v>
      </c>
      <c r="H182" s="1"/>
      <c r="I182" s="8">
        <v>495</v>
      </c>
      <c r="J182" s="8">
        <v>383</v>
      </c>
      <c r="K182" s="8">
        <v>432</v>
      </c>
      <c r="L182" s="8">
        <v>214</v>
      </c>
      <c r="M182" s="8">
        <v>477</v>
      </c>
      <c r="N182" s="8">
        <v>135</v>
      </c>
      <c r="O182" s="8">
        <v>439</v>
      </c>
      <c r="P182" s="8">
        <v>256</v>
      </c>
      <c r="Q182" s="8">
        <v>352</v>
      </c>
      <c r="R182" s="8">
        <v>401</v>
      </c>
      <c r="S182" s="8">
        <v>596</v>
      </c>
      <c r="T182" s="8">
        <v>179</v>
      </c>
      <c r="U182" s="8">
        <v>326</v>
      </c>
      <c r="V182" s="8">
        <v>330</v>
      </c>
      <c r="W182" s="8">
        <v>290</v>
      </c>
      <c r="X182" s="8">
        <v>492</v>
      </c>
      <c r="Y182" s="8">
        <v>249</v>
      </c>
      <c r="Z182" s="8">
        <v>175</v>
      </c>
      <c r="AA182" s="8">
        <v>188</v>
      </c>
      <c r="AB182" s="8">
        <v>517</v>
      </c>
      <c r="AC182" s="8">
        <v>261</v>
      </c>
      <c r="AD182" s="8">
        <v>321</v>
      </c>
      <c r="AE182" s="8">
        <v>181</v>
      </c>
      <c r="AF182" s="8">
        <v>202</v>
      </c>
      <c r="AG182" s="8">
        <v>332</v>
      </c>
      <c r="AH182" s="8">
        <v>254</v>
      </c>
      <c r="AI182" s="8">
        <v>269</v>
      </c>
      <c r="AJ182" s="8">
        <v>220</v>
      </c>
      <c r="AK182" s="8">
        <v>234</v>
      </c>
      <c r="AL182" s="8">
        <v>135</v>
      </c>
      <c r="AM182" s="8">
        <v>380</v>
      </c>
      <c r="AN182" s="8">
        <v>291</v>
      </c>
      <c r="AO182" s="8">
        <v>409</v>
      </c>
      <c r="AP182" s="8">
        <v>230</v>
      </c>
      <c r="AQ182" s="8">
        <v>459</v>
      </c>
      <c r="AR182" s="8">
        <v>122</v>
      </c>
      <c r="AS182" s="8">
        <v>277</v>
      </c>
      <c r="AT182" s="8">
        <v>310</v>
      </c>
      <c r="AU182" s="8">
        <v>461</v>
      </c>
      <c r="AV182" s="8">
        <v>398</v>
      </c>
      <c r="AW182" s="8">
        <v>286</v>
      </c>
      <c r="AX182" s="8">
        <v>289</v>
      </c>
      <c r="AY182" s="8">
        <v>261</v>
      </c>
      <c r="AZ182" s="8">
        <v>291</v>
      </c>
      <c r="BA182" s="8">
        <v>530</v>
      </c>
      <c r="BB182" s="8">
        <v>202</v>
      </c>
      <c r="BC182" s="8">
        <v>238</v>
      </c>
      <c r="BD182" s="8">
        <v>142</v>
      </c>
      <c r="BE182" s="8">
        <v>276</v>
      </c>
      <c r="BF182" s="8">
        <v>280</v>
      </c>
      <c r="BG182" s="8">
        <v>595</v>
      </c>
      <c r="BH182" s="8">
        <v>303</v>
      </c>
      <c r="BI182" s="8">
        <v>427</v>
      </c>
      <c r="BJ182" s="8">
        <v>345</v>
      </c>
      <c r="BK182" s="8">
        <v>172</v>
      </c>
      <c r="BL182" s="8">
        <v>399</v>
      </c>
      <c r="BM182" s="8">
        <v>460</v>
      </c>
      <c r="BN182" s="8">
        <v>297</v>
      </c>
      <c r="BO182" s="8">
        <v>314</v>
      </c>
      <c r="BP182" s="8">
        <v>549</v>
      </c>
      <c r="BQ182" s="8">
        <v>304</v>
      </c>
      <c r="BR182" s="8">
        <v>333</v>
      </c>
      <c r="BS182" s="8">
        <v>325</v>
      </c>
      <c r="BT182" s="8">
        <v>192</v>
      </c>
      <c r="BU182" s="8">
        <v>388</v>
      </c>
      <c r="BV182" s="8">
        <v>120</v>
      </c>
      <c r="BW182" s="8">
        <v>262</v>
      </c>
      <c r="BX182" s="8">
        <v>181</v>
      </c>
      <c r="BY182" s="8">
        <v>370</v>
      </c>
      <c r="BZ182" s="8">
        <v>292</v>
      </c>
      <c r="CA182" s="8">
        <v>307</v>
      </c>
      <c r="CB182" s="8">
        <v>156</v>
      </c>
      <c r="CC182" s="8">
        <v>303</v>
      </c>
      <c r="CD182" s="8">
        <v>793</v>
      </c>
      <c r="CE182" s="8">
        <v>278</v>
      </c>
      <c r="CF182" s="8">
        <v>132</v>
      </c>
      <c r="CG182" s="8">
        <v>237</v>
      </c>
      <c r="CH182" s="8">
        <v>254</v>
      </c>
      <c r="CJ182" s="9"/>
      <c r="CK182" s="9"/>
      <c r="CL182" s="9"/>
      <c r="CM182" s="9"/>
      <c r="CN182" s="9"/>
      <c r="CO182" s="9"/>
      <c r="CP182" s="9"/>
      <c r="CQ182" s="9"/>
      <c r="CR182" s="9"/>
      <c r="CS182" s="9"/>
      <c r="CT182" s="9"/>
      <c r="CU182" s="9"/>
      <c r="CV182" s="9"/>
      <c r="CW182" s="9"/>
      <c r="CX182" s="9"/>
      <c r="CY182" s="9"/>
      <c r="CZ182" s="9"/>
      <c r="DA182" s="9"/>
      <c r="DB182" s="9"/>
      <c r="DC182" s="9"/>
      <c r="DD182" s="9"/>
      <c r="DE182" s="9"/>
      <c r="DF182" s="9"/>
      <c r="DG182" s="9"/>
      <c r="DH182" s="9"/>
      <c r="DI182" s="9"/>
      <c r="DJ182" s="9"/>
      <c r="DK182" s="9"/>
      <c r="DL182" s="9"/>
      <c r="DM182" s="9"/>
      <c r="DN182" s="9"/>
      <c r="DO182" s="9"/>
      <c r="DP182" s="9"/>
      <c r="DQ182" s="9"/>
      <c r="DR182" s="9"/>
      <c r="DS182" s="9"/>
      <c r="DT182" s="9"/>
      <c r="DU182" s="9"/>
      <c r="DV182" s="9"/>
      <c r="DW182" s="9"/>
      <c r="DX182" s="9"/>
      <c r="DY182" s="9"/>
      <c r="DZ182" s="9"/>
      <c r="EA182" s="9"/>
      <c r="EB182" s="9"/>
      <c r="EC182" s="9"/>
      <c r="ED182" s="9"/>
      <c r="EE182" s="9"/>
      <c r="EF182" s="9"/>
      <c r="EG182" s="9"/>
      <c r="EH182" s="9"/>
      <c r="EI182" s="9"/>
      <c r="EJ182" s="9"/>
      <c r="EK182" s="9"/>
      <c r="EL182" s="9"/>
      <c r="EM182" s="9"/>
      <c r="EN182" s="9"/>
      <c r="EO182" s="9"/>
      <c r="EP182" s="9"/>
      <c r="EQ182" s="9"/>
      <c r="ER182" s="9"/>
      <c r="ES182" s="9"/>
      <c r="ET182" s="9"/>
      <c r="EU182" s="9"/>
      <c r="EV182" s="9"/>
      <c r="EW182" s="9"/>
      <c r="EX182" s="9"/>
      <c r="EY182" s="9"/>
      <c r="EZ182" s="9"/>
      <c r="FA182" s="9"/>
      <c r="FB182" s="9"/>
      <c r="FC182" s="9"/>
      <c r="FD182" s="9"/>
      <c r="FE182" s="9"/>
      <c r="FF182" s="9"/>
      <c r="FG182" s="9"/>
      <c r="FH182" s="9"/>
      <c r="FI182" s="9"/>
    </row>
    <row r="183" spans="1:165" x14ac:dyDescent="0.2">
      <c r="A183" s="1" t="s">
        <v>1167</v>
      </c>
      <c r="B183" s="1" t="s">
        <v>1168</v>
      </c>
      <c r="C183" s="1" t="s">
        <v>967</v>
      </c>
      <c r="D183" s="1" t="str">
        <f>HYPERLINK("http://eros.fiehnlab.ucdavis.edu:8080/binbase-compound/bin/show/226330?db=rtx5","226330")</f>
        <v>226330</v>
      </c>
      <c r="E183" s="1" t="s">
        <v>1169</v>
      </c>
      <c r="F183" s="1" t="s">
        <v>184</v>
      </c>
      <c r="G183" s="1" t="s">
        <v>184</v>
      </c>
      <c r="H183" s="1"/>
      <c r="I183" s="8">
        <v>470</v>
      </c>
      <c r="J183" s="8">
        <v>462</v>
      </c>
      <c r="K183" s="8">
        <v>325</v>
      </c>
      <c r="L183" s="8">
        <v>320</v>
      </c>
      <c r="M183" s="8">
        <v>534</v>
      </c>
      <c r="N183" s="8">
        <v>520</v>
      </c>
      <c r="O183" s="8">
        <v>492</v>
      </c>
      <c r="P183" s="8">
        <v>451</v>
      </c>
      <c r="Q183" s="8">
        <v>449</v>
      </c>
      <c r="R183" s="8">
        <v>392</v>
      </c>
      <c r="S183" s="8">
        <v>750</v>
      </c>
      <c r="T183" s="8">
        <v>479</v>
      </c>
      <c r="U183" s="8">
        <v>630</v>
      </c>
      <c r="V183" s="8">
        <v>536</v>
      </c>
      <c r="W183" s="8">
        <v>642</v>
      </c>
      <c r="X183" s="8">
        <v>611</v>
      </c>
      <c r="Y183" s="8">
        <v>536</v>
      </c>
      <c r="Z183" s="8">
        <v>503</v>
      </c>
      <c r="AA183" s="8">
        <v>249</v>
      </c>
      <c r="AB183" s="8">
        <v>432</v>
      </c>
      <c r="AC183" s="8">
        <v>344</v>
      </c>
      <c r="AD183" s="8">
        <v>357</v>
      </c>
      <c r="AE183" s="8">
        <v>451</v>
      </c>
      <c r="AF183" s="8">
        <v>413</v>
      </c>
      <c r="AG183" s="8">
        <v>294</v>
      </c>
      <c r="AH183" s="8">
        <v>320</v>
      </c>
      <c r="AI183" s="8">
        <v>337</v>
      </c>
      <c r="AJ183" s="8">
        <v>541</v>
      </c>
      <c r="AK183" s="8">
        <v>377</v>
      </c>
      <c r="AL183" s="8">
        <v>508</v>
      </c>
      <c r="AM183" s="8">
        <v>620</v>
      </c>
      <c r="AN183" s="8">
        <v>609</v>
      </c>
      <c r="AO183" s="8">
        <v>418</v>
      </c>
      <c r="AP183" s="8">
        <v>513</v>
      </c>
      <c r="AQ183" s="8">
        <v>647</v>
      </c>
      <c r="AR183" s="8">
        <v>525</v>
      </c>
      <c r="AS183" s="8">
        <v>246</v>
      </c>
      <c r="AT183" s="8">
        <v>249</v>
      </c>
      <c r="AU183" s="8">
        <v>320</v>
      </c>
      <c r="AV183" s="8">
        <v>367</v>
      </c>
      <c r="AW183" s="8">
        <v>416</v>
      </c>
      <c r="AX183" s="8">
        <v>488</v>
      </c>
      <c r="AY183" s="8">
        <v>561</v>
      </c>
      <c r="AZ183" s="8">
        <v>806</v>
      </c>
      <c r="BA183" s="8">
        <v>446</v>
      </c>
      <c r="BB183" s="8">
        <v>657</v>
      </c>
      <c r="BC183" s="8">
        <v>982</v>
      </c>
      <c r="BD183" s="8">
        <v>518</v>
      </c>
      <c r="BE183" s="8">
        <v>452</v>
      </c>
      <c r="BF183" s="8">
        <v>436</v>
      </c>
      <c r="BG183" s="8">
        <v>205</v>
      </c>
      <c r="BH183" s="8">
        <v>479</v>
      </c>
      <c r="BI183" s="8">
        <v>380</v>
      </c>
      <c r="BJ183" s="8">
        <v>281</v>
      </c>
      <c r="BK183" s="8">
        <v>504</v>
      </c>
      <c r="BL183" s="8">
        <v>536</v>
      </c>
      <c r="BM183" s="8">
        <v>540</v>
      </c>
      <c r="BN183" s="8">
        <v>418</v>
      </c>
      <c r="BO183" s="8">
        <v>537</v>
      </c>
      <c r="BP183" s="8">
        <v>432</v>
      </c>
      <c r="BQ183" s="8">
        <v>339</v>
      </c>
      <c r="BR183" s="8">
        <v>228</v>
      </c>
      <c r="BS183" s="8">
        <v>394</v>
      </c>
      <c r="BT183" s="8">
        <v>435</v>
      </c>
      <c r="BU183" s="8">
        <v>498</v>
      </c>
      <c r="BV183" s="8">
        <v>396</v>
      </c>
      <c r="BW183" s="8">
        <v>297</v>
      </c>
      <c r="BX183" s="8">
        <v>499</v>
      </c>
      <c r="BY183" s="8">
        <v>308</v>
      </c>
      <c r="BZ183" s="8">
        <v>435</v>
      </c>
      <c r="CA183" s="8">
        <v>467</v>
      </c>
      <c r="CB183" s="8">
        <v>471</v>
      </c>
      <c r="CC183" s="8">
        <v>269</v>
      </c>
      <c r="CD183" s="8">
        <v>238</v>
      </c>
      <c r="CE183" s="8">
        <v>293</v>
      </c>
      <c r="CF183" s="8">
        <v>232</v>
      </c>
      <c r="CG183" s="8">
        <v>604</v>
      </c>
      <c r="CH183" s="8">
        <v>285</v>
      </c>
      <c r="CJ183" s="9"/>
      <c r="CK183" s="9"/>
      <c r="CL183" s="9"/>
      <c r="CM183" s="9"/>
      <c r="CN183" s="9"/>
      <c r="CO183" s="9"/>
      <c r="CP183" s="9"/>
      <c r="CQ183" s="9"/>
      <c r="CR183" s="9"/>
      <c r="CS183" s="9"/>
      <c r="CT183" s="9"/>
      <c r="CU183" s="9"/>
      <c r="CV183" s="9"/>
      <c r="CW183" s="9"/>
      <c r="CX183" s="9"/>
      <c r="CY183" s="9"/>
      <c r="CZ183" s="9"/>
      <c r="DA183" s="9"/>
      <c r="DB183" s="9"/>
      <c r="DC183" s="9"/>
      <c r="DD183" s="9"/>
      <c r="DE183" s="9"/>
      <c r="DF183" s="9"/>
      <c r="DG183" s="9"/>
      <c r="DH183" s="9"/>
      <c r="DI183" s="9"/>
      <c r="DJ183" s="9"/>
      <c r="DK183" s="9"/>
      <c r="DL183" s="9"/>
      <c r="DM183" s="9"/>
      <c r="DN183" s="9"/>
      <c r="DO183" s="9"/>
      <c r="DP183" s="9"/>
      <c r="DQ183" s="9"/>
      <c r="DR183" s="9"/>
      <c r="DS183" s="9"/>
      <c r="DT183" s="9"/>
      <c r="DU183" s="9"/>
      <c r="DV183" s="9"/>
      <c r="DW183" s="9"/>
      <c r="DX183" s="9"/>
      <c r="DY183" s="9"/>
      <c r="DZ183" s="9"/>
      <c r="EA183" s="9"/>
      <c r="EB183" s="9"/>
      <c r="EC183" s="9"/>
      <c r="ED183" s="9"/>
      <c r="EE183" s="9"/>
      <c r="EF183" s="9"/>
      <c r="EG183" s="9"/>
      <c r="EH183" s="9"/>
      <c r="EI183" s="9"/>
      <c r="EJ183" s="9"/>
      <c r="EK183" s="9"/>
      <c r="EL183" s="9"/>
      <c r="EM183" s="9"/>
      <c r="EN183" s="9"/>
      <c r="EO183" s="9"/>
      <c r="EP183" s="9"/>
      <c r="EQ183" s="9"/>
      <c r="ER183" s="9"/>
      <c r="ES183" s="9"/>
      <c r="ET183" s="9"/>
      <c r="EU183" s="9"/>
      <c r="EV183" s="9"/>
      <c r="EW183" s="9"/>
      <c r="EX183" s="9"/>
      <c r="EY183" s="9"/>
      <c r="EZ183" s="9"/>
      <c r="FA183" s="9"/>
      <c r="FB183" s="9"/>
      <c r="FC183" s="9"/>
      <c r="FD183" s="9"/>
      <c r="FE183" s="9"/>
      <c r="FF183" s="9"/>
      <c r="FG183" s="9"/>
      <c r="FH183" s="9"/>
      <c r="FI183" s="9"/>
    </row>
    <row r="184" spans="1:165" x14ac:dyDescent="0.2">
      <c r="A184" s="1" t="s">
        <v>1370</v>
      </c>
      <c r="B184" s="1" t="s">
        <v>1371</v>
      </c>
      <c r="C184" s="1" t="s">
        <v>1198</v>
      </c>
      <c r="D184" s="1" t="str">
        <f>HYPERLINK("http://eros.fiehnlab.ucdavis.edu:8080/binbase-compound/bin/show/200906?db=rtx5","200906")</f>
        <v>200906</v>
      </c>
      <c r="E184" s="1" t="s">
        <v>1372</v>
      </c>
      <c r="F184" s="1" t="s">
        <v>184</v>
      </c>
      <c r="G184" s="1" t="s">
        <v>184</v>
      </c>
      <c r="H184" s="1"/>
      <c r="I184" s="8">
        <v>528</v>
      </c>
      <c r="J184" s="8">
        <v>431</v>
      </c>
      <c r="K184" s="8">
        <v>448</v>
      </c>
      <c r="L184" s="8">
        <v>396</v>
      </c>
      <c r="M184" s="8">
        <v>620</v>
      </c>
      <c r="N184" s="8">
        <v>524</v>
      </c>
      <c r="O184" s="8">
        <v>574</v>
      </c>
      <c r="P184" s="8">
        <v>643</v>
      </c>
      <c r="Q184" s="8">
        <v>687</v>
      </c>
      <c r="R184" s="8">
        <v>893</v>
      </c>
      <c r="S184" s="8">
        <v>714</v>
      </c>
      <c r="T184" s="8">
        <v>731</v>
      </c>
      <c r="U184" s="8">
        <v>244</v>
      </c>
      <c r="V184" s="8">
        <v>711</v>
      </c>
      <c r="W184" s="8">
        <v>889</v>
      </c>
      <c r="X184" s="8">
        <v>744</v>
      </c>
      <c r="Y184" s="8">
        <v>646</v>
      </c>
      <c r="Z184" s="8">
        <v>777</v>
      </c>
      <c r="AA184" s="8">
        <v>292</v>
      </c>
      <c r="AB184" s="8">
        <v>153</v>
      </c>
      <c r="AC184" s="8">
        <v>179</v>
      </c>
      <c r="AD184" s="8">
        <v>166</v>
      </c>
      <c r="AE184" s="8">
        <v>203</v>
      </c>
      <c r="AF184" s="8">
        <v>291</v>
      </c>
      <c r="AG184" s="8">
        <v>515</v>
      </c>
      <c r="AH184" s="8">
        <v>486</v>
      </c>
      <c r="AI184" s="8">
        <v>621</v>
      </c>
      <c r="AJ184" s="8">
        <v>894</v>
      </c>
      <c r="AK184" s="8">
        <v>653</v>
      </c>
      <c r="AL184" s="8">
        <v>756</v>
      </c>
      <c r="AM184" s="8">
        <v>724</v>
      </c>
      <c r="AN184" s="8">
        <v>829</v>
      </c>
      <c r="AO184" s="8">
        <v>552</v>
      </c>
      <c r="AP184" s="8">
        <v>822</v>
      </c>
      <c r="AQ184" s="8">
        <v>717</v>
      </c>
      <c r="AR184" s="8">
        <v>568</v>
      </c>
      <c r="AS184" s="8">
        <v>743</v>
      </c>
      <c r="AT184" s="8">
        <v>988</v>
      </c>
      <c r="AU184" s="8">
        <v>925</v>
      </c>
      <c r="AV184" s="8">
        <v>792</v>
      </c>
      <c r="AW184" s="8">
        <v>1029</v>
      </c>
      <c r="AX184" s="8">
        <v>929</v>
      </c>
      <c r="AY184" s="8">
        <v>183</v>
      </c>
      <c r="AZ184" s="8">
        <v>326</v>
      </c>
      <c r="BA184" s="8">
        <v>218</v>
      </c>
      <c r="BB184" s="8">
        <v>260</v>
      </c>
      <c r="BC184" s="8">
        <v>192</v>
      </c>
      <c r="BD184" s="8">
        <v>256</v>
      </c>
      <c r="BE184" s="8">
        <v>497</v>
      </c>
      <c r="BF184" s="8">
        <v>590</v>
      </c>
      <c r="BG184" s="8">
        <v>482</v>
      </c>
      <c r="BH184" s="8">
        <v>548</v>
      </c>
      <c r="BI184" s="8">
        <v>959</v>
      </c>
      <c r="BJ184" s="8">
        <v>723</v>
      </c>
      <c r="BK184" s="8">
        <v>634</v>
      </c>
      <c r="BL184" s="8">
        <v>465</v>
      </c>
      <c r="BM184" s="8">
        <v>606</v>
      </c>
      <c r="BN184" s="8">
        <v>621</v>
      </c>
      <c r="BO184" s="8">
        <v>756</v>
      </c>
      <c r="BP184" s="8">
        <v>743</v>
      </c>
      <c r="BQ184" s="8">
        <v>701</v>
      </c>
      <c r="BR184" s="8">
        <v>930</v>
      </c>
      <c r="BS184" s="8">
        <v>804</v>
      </c>
      <c r="BT184" s="8">
        <v>869</v>
      </c>
      <c r="BU184" s="8">
        <v>791</v>
      </c>
      <c r="BV184" s="8">
        <v>686</v>
      </c>
      <c r="BW184" s="8">
        <v>174</v>
      </c>
      <c r="BX184" s="8">
        <v>168</v>
      </c>
      <c r="BY184" s="8">
        <v>192</v>
      </c>
      <c r="BZ184" s="8">
        <v>203</v>
      </c>
      <c r="CA184" s="8">
        <v>235</v>
      </c>
      <c r="CB184" s="8">
        <v>229</v>
      </c>
      <c r="CC184" s="8">
        <v>615</v>
      </c>
      <c r="CD184" s="8">
        <v>481</v>
      </c>
      <c r="CE184" s="8">
        <v>548</v>
      </c>
      <c r="CF184" s="8">
        <v>608</v>
      </c>
      <c r="CG184" s="8">
        <v>795</v>
      </c>
      <c r="CH184" s="8">
        <v>646</v>
      </c>
      <c r="CJ184" s="9"/>
      <c r="CK184" s="9"/>
      <c r="CL184" s="9"/>
      <c r="CM184" s="9"/>
      <c r="CN184" s="9"/>
      <c r="CO184" s="9"/>
      <c r="CP184" s="9"/>
      <c r="CQ184" s="9"/>
      <c r="CR184" s="9"/>
      <c r="CS184" s="9"/>
      <c r="CT184" s="9"/>
      <c r="CU184" s="9"/>
      <c r="CV184" s="9"/>
      <c r="CW184" s="9"/>
      <c r="CX184" s="9"/>
      <c r="CY184" s="9"/>
      <c r="CZ184" s="9"/>
      <c r="DA184" s="9"/>
      <c r="DB184" s="9"/>
      <c r="DC184" s="9"/>
      <c r="DD184" s="9"/>
      <c r="DE184" s="9"/>
      <c r="DF184" s="9"/>
      <c r="DG184" s="9"/>
      <c r="DH184" s="9"/>
      <c r="DI184" s="9"/>
      <c r="DJ184" s="9"/>
      <c r="DK184" s="9"/>
      <c r="DL184" s="9"/>
      <c r="DM184" s="9"/>
      <c r="DN184" s="9"/>
      <c r="DO184" s="9"/>
      <c r="DP184" s="9"/>
      <c r="DQ184" s="9"/>
      <c r="DR184" s="9"/>
      <c r="DS184" s="9"/>
      <c r="DT184" s="9"/>
      <c r="DU184" s="9"/>
      <c r="DV184" s="9"/>
      <c r="DW184" s="9"/>
      <c r="DX184" s="9"/>
      <c r="DY184" s="9"/>
      <c r="DZ184" s="9"/>
      <c r="EA184" s="9"/>
      <c r="EB184" s="9"/>
      <c r="EC184" s="9"/>
      <c r="ED184" s="9"/>
      <c r="EE184" s="9"/>
      <c r="EF184" s="9"/>
      <c r="EG184" s="9"/>
      <c r="EH184" s="9"/>
      <c r="EI184" s="9"/>
      <c r="EJ184" s="9"/>
      <c r="EK184" s="9"/>
      <c r="EL184" s="9"/>
      <c r="EM184" s="9"/>
      <c r="EN184" s="9"/>
      <c r="EO184" s="9"/>
      <c r="EP184" s="9"/>
      <c r="EQ184" s="9"/>
      <c r="ER184" s="9"/>
      <c r="ES184" s="9"/>
      <c r="ET184" s="9"/>
      <c r="EU184" s="9"/>
      <c r="EV184" s="9"/>
      <c r="EW184" s="9"/>
      <c r="EX184" s="9"/>
      <c r="EY184" s="9"/>
      <c r="EZ184" s="9"/>
      <c r="FA184" s="9"/>
      <c r="FB184" s="9"/>
      <c r="FC184" s="9"/>
      <c r="FD184" s="9"/>
      <c r="FE184" s="9"/>
      <c r="FF184" s="9"/>
      <c r="FG184" s="9"/>
      <c r="FH184" s="9"/>
      <c r="FI184" s="9"/>
    </row>
    <row r="185" spans="1:165" x14ac:dyDescent="0.2">
      <c r="A185" s="1" t="s">
        <v>948</v>
      </c>
      <c r="B185" s="1" t="s">
        <v>949</v>
      </c>
      <c r="C185" s="1" t="s">
        <v>864</v>
      </c>
      <c r="D185" s="1" t="str">
        <f>HYPERLINK("http://eros.fiehnlab.ucdavis.edu:8080/binbase-compound/bin/show/288019?db=rtx5","288019")</f>
        <v>288019</v>
      </c>
      <c r="E185" s="1" t="s">
        <v>950</v>
      </c>
      <c r="F185" s="1" t="s">
        <v>184</v>
      </c>
      <c r="G185" s="1" t="s">
        <v>184</v>
      </c>
      <c r="H185" s="1"/>
      <c r="I185" s="8">
        <v>290</v>
      </c>
      <c r="J185" s="8">
        <v>294</v>
      </c>
      <c r="K185" s="8">
        <v>277</v>
      </c>
      <c r="L185" s="8">
        <v>163</v>
      </c>
      <c r="M185" s="8">
        <v>342</v>
      </c>
      <c r="N185" s="8">
        <v>424</v>
      </c>
      <c r="O185" s="8">
        <v>600</v>
      </c>
      <c r="P185" s="8">
        <v>768</v>
      </c>
      <c r="Q185" s="8">
        <v>866</v>
      </c>
      <c r="R185" s="8">
        <v>944</v>
      </c>
      <c r="S185" s="8">
        <v>767</v>
      </c>
      <c r="T185" s="8">
        <v>612</v>
      </c>
      <c r="U185" s="8">
        <v>784</v>
      </c>
      <c r="V185" s="8">
        <v>710</v>
      </c>
      <c r="W185" s="8">
        <v>798</v>
      </c>
      <c r="X185" s="8">
        <v>631</v>
      </c>
      <c r="Y185" s="8">
        <v>529</v>
      </c>
      <c r="Z185" s="8">
        <v>577</v>
      </c>
      <c r="AA185" s="8">
        <v>563</v>
      </c>
      <c r="AB185" s="8">
        <v>875</v>
      </c>
      <c r="AC185" s="8">
        <v>1019</v>
      </c>
      <c r="AD185" s="8">
        <v>760</v>
      </c>
      <c r="AE185" s="8">
        <v>782</v>
      </c>
      <c r="AF185" s="8">
        <v>534</v>
      </c>
      <c r="AG185" s="8">
        <v>644</v>
      </c>
      <c r="AH185" s="8">
        <v>734</v>
      </c>
      <c r="AI185" s="8">
        <v>756</v>
      </c>
      <c r="AJ185" s="8">
        <v>763</v>
      </c>
      <c r="AK185" s="8">
        <v>603</v>
      </c>
      <c r="AL185" s="8">
        <v>683</v>
      </c>
      <c r="AM185" s="8">
        <v>488</v>
      </c>
      <c r="AN185" s="8">
        <v>147</v>
      </c>
      <c r="AO185" s="8">
        <v>354</v>
      </c>
      <c r="AP185" s="8">
        <v>326</v>
      </c>
      <c r="AQ185" s="8">
        <v>172</v>
      </c>
      <c r="AR185" s="8">
        <v>261</v>
      </c>
      <c r="AS185" s="8">
        <v>439</v>
      </c>
      <c r="AT185" s="8">
        <v>172</v>
      </c>
      <c r="AU185" s="8">
        <v>358</v>
      </c>
      <c r="AV185" s="8">
        <v>218</v>
      </c>
      <c r="AW185" s="8">
        <v>194</v>
      </c>
      <c r="AX185" s="8">
        <v>305</v>
      </c>
      <c r="AY185" s="8">
        <v>301</v>
      </c>
      <c r="AZ185" s="8">
        <v>231</v>
      </c>
      <c r="BA185" s="8">
        <v>366</v>
      </c>
      <c r="BB185" s="8">
        <v>287</v>
      </c>
      <c r="BC185" s="8">
        <v>279</v>
      </c>
      <c r="BD185" s="8">
        <v>179</v>
      </c>
      <c r="BE185" s="8">
        <v>250</v>
      </c>
      <c r="BF185" s="8">
        <v>347</v>
      </c>
      <c r="BG185" s="8">
        <v>378</v>
      </c>
      <c r="BH185" s="8">
        <v>364</v>
      </c>
      <c r="BI185" s="8">
        <v>399</v>
      </c>
      <c r="BJ185" s="8">
        <v>256</v>
      </c>
      <c r="BK185" s="8">
        <v>377</v>
      </c>
      <c r="BL185" s="8">
        <v>506</v>
      </c>
      <c r="BM185" s="8">
        <v>601</v>
      </c>
      <c r="BN185" s="8">
        <v>215</v>
      </c>
      <c r="BO185" s="8">
        <v>268</v>
      </c>
      <c r="BP185" s="8">
        <v>315</v>
      </c>
      <c r="BQ185" s="8">
        <v>408</v>
      </c>
      <c r="BR185" s="8">
        <v>278</v>
      </c>
      <c r="BS185" s="8">
        <v>397</v>
      </c>
      <c r="BT185" s="8">
        <v>331</v>
      </c>
      <c r="BU185" s="8">
        <v>395</v>
      </c>
      <c r="BV185" s="8">
        <v>330</v>
      </c>
      <c r="BW185" s="8">
        <v>273</v>
      </c>
      <c r="BX185" s="8">
        <v>286</v>
      </c>
      <c r="BY185" s="8">
        <v>486</v>
      </c>
      <c r="BZ185" s="8">
        <v>336</v>
      </c>
      <c r="CA185" s="8">
        <v>251</v>
      </c>
      <c r="CB185" s="8">
        <v>241</v>
      </c>
      <c r="CC185" s="8">
        <v>282</v>
      </c>
      <c r="CD185" s="8">
        <v>519</v>
      </c>
      <c r="CE185" s="8">
        <v>443</v>
      </c>
      <c r="CF185" s="8">
        <v>341</v>
      </c>
      <c r="CG185" s="8">
        <v>393</v>
      </c>
      <c r="CH185" s="8">
        <v>569</v>
      </c>
      <c r="CJ185" s="9"/>
      <c r="CK185" s="9"/>
      <c r="CL185" s="9"/>
      <c r="CM185" s="9"/>
      <c r="CN185" s="9"/>
      <c r="CO185" s="9"/>
      <c r="CP185" s="9"/>
      <c r="CQ185" s="9"/>
      <c r="CR185" s="9"/>
      <c r="CS185" s="9"/>
      <c r="CT185" s="9"/>
      <c r="CU185" s="9"/>
      <c r="CV185" s="9"/>
      <c r="CW185" s="9"/>
      <c r="CX185" s="9"/>
      <c r="CY185" s="9"/>
      <c r="CZ185" s="9"/>
      <c r="DA185" s="9"/>
      <c r="DB185" s="9"/>
      <c r="DC185" s="9"/>
      <c r="DD185" s="9"/>
      <c r="DE185" s="9"/>
      <c r="DF185" s="9"/>
      <c r="DG185" s="9"/>
      <c r="DH185" s="9"/>
      <c r="DI185" s="9"/>
      <c r="DJ185" s="9"/>
      <c r="DK185" s="9"/>
      <c r="DL185" s="9"/>
      <c r="DM185" s="9"/>
      <c r="DN185" s="9"/>
      <c r="DO185" s="9"/>
      <c r="DP185" s="9"/>
      <c r="DQ185" s="9"/>
      <c r="DR185" s="9"/>
      <c r="DS185" s="9"/>
      <c r="DT185" s="9"/>
      <c r="DU185" s="9"/>
      <c r="DV185" s="9"/>
      <c r="DW185" s="9"/>
      <c r="DX185" s="9"/>
      <c r="DY185" s="9"/>
      <c r="DZ185" s="9"/>
      <c r="EA185" s="9"/>
      <c r="EB185" s="9"/>
      <c r="EC185" s="9"/>
      <c r="ED185" s="9"/>
      <c r="EE185" s="9"/>
      <c r="EF185" s="9"/>
      <c r="EG185" s="9"/>
      <c r="EH185" s="9"/>
      <c r="EI185" s="9"/>
      <c r="EJ185" s="9"/>
      <c r="EK185" s="9"/>
      <c r="EL185" s="9"/>
      <c r="EM185" s="9"/>
      <c r="EN185" s="9"/>
      <c r="EO185" s="9"/>
      <c r="EP185" s="9"/>
      <c r="EQ185" s="9"/>
      <c r="ER185" s="9"/>
      <c r="ES185" s="9"/>
      <c r="ET185" s="9"/>
      <c r="EU185" s="9"/>
      <c r="EV185" s="9"/>
      <c r="EW185" s="9"/>
      <c r="EX185" s="9"/>
      <c r="EY185" s="9"/>
      <c r="EZ185" s="9"/>
      <c r="FA185" s="9"/>
      <c r="FB185" s="9"/>
      <c r="FC185" s="9"/>
      <c r="FD185" s="9"/>
      <c r="FE185" s="9"/>
      <c r="FF185" s="9"/>
      <c r="FG185" s="9"/>
      <c r="FH185" s="9"/>
      <c r="FI185" s="9"/>
    </row>
    <row r="186" spans="1:165" x14ac:dyDescent="0.2">
      <c r="A186" s="1" t="s">
        <v>878</v>
      </c>
      <c r="B186" s="1" t="s">
        <v>879</v>
      </c>
      <c r="C186" s="1" t="s">
        <v>294</v>
      </c>
      <c r="D186" s="1" t="str">
        <f>HYPERLINK("http://eros.fiehnlab.ucdavis.edu:8080/binbase-compound/bin/show/303956?db=rtx5","303956")</f>
        <v>303956</v>
      </c>
      <c r="E186" s="1" t="s">
        <v>880</v>
      </c>
      <c r="F186" s="1" t="s">
        <v>184</v>
      </c>
      <c r="G186" s="1" t="s">
        <v>184</v>
      </c>
      <c r="H186" s="1"/>
      <c r="I186" s="8">
        <v>654</v>
      </c>
      <c r="J186" s="8">
        <v>503</v>
      </c>
      <c r="K186" s="8">
        <v>426</v>
      </c>
      <c r="L186" s="8">
        <v>406</v>
      </c>
      <c r="M186" s="8">
        <v>519</v>
      </c>
      <c r="N186" s="8">
        <v>466</v>
      </c>
      <c r="O186" s="8">
        <v>506</v>
      </c>
      <c r="P186" s="8">
        <v>598</v>
      </c>
      <c r="Q186" s="8">
        <v>416</v>
      </c>
      <c r="R186" s="8">
        <v>327</v>
      </c>
      <c r="S186" s="8">
        <v>512</v>
      </c>
      <c r="T186" s="8">
        <v>441</v>
      </c>
      <c r="U186" s="8">
        <v>259</v>
      </c>
      <c r="V186" s="8">
        <v>479</v>
      </c>
      <c r="W186" s="8">
        <v>344</v>
      </c>
      <c r="X186" s="8">
        <v>470</v>
      </c>
      <c r="Y186" s="8">
        <v>225</v>
      </c>
      <c r="Z186" s="8">
        <v>545</v>
      </c>
      <c r="AA186" s="8">
        <v>366</v>
      </c>
      <c r="AB186" s="8">
        <v>318</v>
      </c>
      <c r="AC186" s="8">
        <v>345</v>
      </c>
      <c r="AD186" s="8">
        <v>357</v>
      </c>
      <c r="AE186" s="8">
        <v>532</v>
      </c>
      <c r="AF186" s="8">
        <v>357</v>
      </c>
      <c r="AG186" s="8">
        <v>367</v>
      </c>
      <c r="AH186" s="8">
        <v>611</v>
      </c>
      <c r="AI186" s="8">
        <v>478</v>
      </c>
      <c r="AJ186" s="8">
        <v>444</v>
      </c>
      <c r="AK186" s="8">
        <v>424</v>
      </c>
      <c r="AL186" s="8">
        <v>415</v>
      </c>
      <c r="AM186" s="8">
        <v>922</v>
      </c>
      <c r="AN186" s="8">
        <v>488</v>
      </c>
      <c r="AO186" s="8">
        <v>553</v>
      </c>
      <c r="AP186" s="8">
        <v>652</v>
      </c>
      <c r="AQ186" s="8">
        <v>389</v>
      </c>
      <c r="AR186" s="8">
        <v>368</v>
      </c>
      <c r="AS186" s="8">
        <v>693</v>
      </c>
      <c r="AT186" s="8">
        <v>400</v>
      </c>
      <c r="AU186" s="8">
        <v>395</v>
      </c>
      <c r="AV186" s="8">
        <v>522</v>
      </c>
      <c r="AW186" s="8">
        <v>401</v>
      </c>
      <c r="AX186" s="8">
        <v>486</v>
      </c>
      <c r="AY186" s="8">
        <v>622</v>
      </c>
      <c r="AZ186" s="8">
        <v>669</v>
      </c>
      <c r="BA186" s="8">
        <v>418</v>
      </c>
      <c r="BB186" s="8">
        <v>661</v>
      </c>
      <c r="BC186" s="8">
        <v>483</v>
      </c>
      <c r="BD186" s="8">
        <v>223</v>
      </c>
      <c r="BE186" s="8">
        <v>458</v>
      </c>
      <c r="BF186" s="8">
        <v>618</v>
      </c>
      <c r="BG186" s="8">
        <v>303</v>
      </c>
      <c r="BH186" s="8">
        <v>414</v>
      </c>
      <c r="BI186" s="8">
        <v>422</v>
      </c>
      <c r="BJ186" s="8">
        <v>402</v>
      </c>
      <c r="BK186" s="8">
        <v>564</v>
      </c>
      <c r="BL186" s="8">
        <v>680</v>
      </c>
      <c r="BM186" s="8">
        <v>552</v>
      </c>
      <c r="BN186" s="8">
        <v>437</v>
      </c>
      <c r="BO186" s="8">
        <v>583</v>
      </c>
      <c r="BP186" s="8">
        <v>776</v>
      </c>
      <c r="BQ186" s="8">
        <v>572</v>
      </c>
      <c r="BR186" s="8">
        <v>585</v>
      </c>
      <c r="BS186" s="8">
        <v>459</v>
      </c>
      <c r="BT186" s="8">
        <v>473</v>
      </c>
      <c r="BU186" s="8">
        <v>408</v>
      </c>
      <c r="BV186" s="8">
        <v>360</v>
      </c>
      <c r="BW186" s="8">
        <v>260</v>
      </c>
      <c r="BX186" s="8">
        <v>323</v>
      </c>
      <c r="BY186" s="8">
        <v>335</v>
      </c>
      <c r="BZ186" s="8">
        <v>567</v>
      </c>
      <c r="CA186" s="8">
        <v>307</v>
      </c>
      <c r="CB186" s="8">
        <v>329</v>
      </c>
      <c r="CC186" s="8">
        <v>536</v>
      </c>
      <c r="CD186" s="8">
        <v>453</v>
      </c>
      <c r="CE186" s="8">
        <v>365</v>
      </c>
      <c r="CF186" s="8">
        <v>378</v>
      </c>
      <c r="CG186" s="8">
        <v>350</v>
      </c>
      <c r="CH186" s="8">
        <v>475</v>
      </c>
      <c r="CJ186" s="9"/>
      <c r="CK186" s="9"/>
      <c r="CL186" s="9"/>
      <c r="CM186" s="9"/>
      <c r="CN186" s="9"/>
      <c r="CO186" s="9"/>
      <c r="CP186" s="9"/>
      <c r="CQ186" s="9"/>
      <c r="CR186" s="9"/>
      <c r="CS186" s="9"/>
      <c r="CT186" s="9"/>
      <c r="CU186" s="9"/>
      <c r="CV186" s="9"/>
      <c r="CW186" s="9"/>
      <c r="CX186" s="9"/>
      <c r="CY186" s="9"/>
      <c r="CZ186" s="9"/>
      <c r="DA186" s="9"/>
      <c r="DB186" s="9"/>
      <c r="DC186" s="9"/>
      <c r="DD186" s="9"/>
      <c r="DE186" s="9"/>
      <c r="DF186" s="9"/>
      <c r="DG186" s="9"/>
      <c r="DH186" s="9"/>
      <c r="DI186" s="9"/>
      <c r="DJ186" s="9"/>
      <c r="DK186" s="9"/>
      <c r="DL186" s="9"/>
      <c r="DM186" s="9"/>
      <c r="DN186" s="9"/>
      <c r="DO186" s="9"/>
      <c r="DP186" s="9"/>
      <c r="DQ186" s="9"/>
      <c r="DR186" s="9"/>
      <c r="DS186" s="9"/>
      <c r="DT186" s="9"/>
      <c r="DU186" s="9"/>
      <c r="DV186" s="9"/>
      <c r="DW186" s="9"/>
      <c r="DX186" s="9"/>
      <c r="DY186" s="9"/>
      <c r="DZ186" s="9"/>
      <c r="EA186" s="9"/>
      <c r="EB186" s="9"/>
      <c r="EC186" s="9"/>
      <c r="ED186" s="9"/>
      <c r="EE186" s="9"/>
      <c r="EF186" s="9"/>
      <c r="EG186" s="9"/>
      <c r="EH186" s="9"/>
      <c r="EI186" s="9"/>
      <c r="EJ186" s="9"/>
      <c r="EK186" s="9"/>
      <c r="EL186" s="9"/>
      <c r="EM186" s="9"/>
      <c r="EN186" s="9"/>
      <c r="EO186" s="9"/>
      <c r="EP186" s="9"/>
      <c r="EQ186" s="9"/>
      <c r="ER186" s="9"/>
      <c r="ES186" s="9"/>
      <c r="ET186" s="9"/>
      <c r="EU186" s="9"/>
      <c r="EV186" s="9"/>
      <c r="EW186" s="9"/>
      <c r="EX186" s="9"/>
      <c r="EY186" s="9"/>
      <c r="EZ186" s="9"/>
      <c r="FA186" s="9"/>
      <c r="FB186" s="9"/>
      <c r="FC186" s="9"/>
      <c r="FD186" s="9"/>
      <c r="FE186" s="9"/>
      <c r="FF186" s="9"/>
      <c r="FG186" s="9"/>
      <c r="FH186" s="9"/>
      <c r="FI186" s="9"/>
    </row>
    <row r="187" spans="1:165" x14ac:dyDescent="0.2">
      <c r="A187" s="1" t="s">
        <v>771</v>
      </c>
      <c r="B187" s="1" t="s">
        <v>772</v>
      </c>
      <c r="C187" s="1" t="s">
        <v>578</v>
      </c>
      <c r="D187" s="1" t="str">
        <f>HYPERLINK("http://eros.fiehnlab.ucdavis.edu:8080/binbase-compound/bin/show/362152?db=rtx5","362152")</f>
        <v>362152</v>
      </c>
      <c r="E187" s="1" t="s">
        <v>773</v>
      </c>
      <c r="F187" s="1" t="s">
        <v>184</v>
      </c>
      <c r="G187" s="1" t="s">
        <v>184</v>
      </c>
      <c r="H187" s="1"/>
      <c r="I187" s="8">
        <v>5617</v>
      </c>
      <c r="J187" s="8">
        <v>5774</v>
      </c>
      <c r="K187" s="8">
        <v>5778</v>
      </c>
      <c r="L187" s="8">
        <v>5592</v>
      </c>
      <c r="M187" s="8">
        <v>4927</v>
      </c>
      <c r="N187" s="8">
        <v>4723</v>
      </c>
      <c r="O187" s="8">
        <v>5850</v>
      </c>
      <c r="P187" s="8">
        <v>8363</v>
      </c>
      <c r="Q187" s="8">
        <v>6496</v>
      </c>
      <c r="R187" s="8">
        <v>5911</v>
      </c>
      <c r="S187" s="8">
        <v>7083</v>
      </c>
      <c r="T187" s="8">
        <v>4311</v>
      </c>
      <c r="U187" s="8">
        <v>7934</v>
      </c>
      <c r="V187" s="8">
        <v>6932</v>
      </c>
      <c r="W187" s="8">
        <v>6450</v>
      </c>
      <c r="X187" s="8">
        <v>4232</v>
      </c>
      <c r="Y187" s="8">
        <v>6450</v>
      </c>
      <c r="Z187" s="8">
        <v>6585</v>
      </c>
      <c r="AA187" s="8">
        <v>3595</v>
      </c>
      <c r="AB187" s="8">
        <v>8810</v>
      </c>
      <c r="AC187" s="8">
        <v>11559</v>
      </c>
      <c r="AD187" s="8">
        <v>8445</v>
      </c>
      <c r="AE187" s="8">
        <v>7492</v>
      </c>
      <c r="AF187" s="8">
        <v>5938</v>
      </c>
      <c r="AG187" s="8">
        <v>7844</v>
      </c>
      <c r="AH187" s="8">
        <v>7178</v>
      </c>
      <c r="AI187" s="8">
        <v>7935</v>
      </c>
      <c r="AJ187" s="8">
        <v>7447</v>
      </c>
      <c r="AK187" s="8">
        <v>6180</v>
      </c>
      <c r="AL187" s="8">
        <v>4100</v>
      </c>
      <c r="AM187" s="8">
        <v>8021</v>
      </c>
      <c r="AN187" s="8">
        <v>7059</v>
      </c>
      <c r="AO187" s="8">
        <v>8958</v>
      </c>
      <c r="AP187" s="8">
        <v>5157</v>
      </c>
      <c r="AQ187" s="8">
        <v>6201</v>
      </c>
      <c r="AR187" s="8">
        <v>4326</v>
      </c>
      <c r="AS187" s="8">
        <v>7141</v>
      </c>
      <c r="AT187" s="8">
        <v>7244</v>
      </c>
      <c r="AU187" s="8">
        <v>6254</v>
      </c>
      <c r="AV187" s="8">
        <v>6459</v>
      </c>
      <c r="AW187" s="8">
        <v>3393</v>
      </c>
      <c r="AX187" s="8">
        <v>6377</v>
      </c>
      <c r="AY187" s="8">
        <v>8218</v>
      </c>
      <c r="AZ187" s="8">
        <v>5891</v>
      </c>
      <c r="BA187" s="8">
        <v>3871</v>
      </c>
      <c r="BB187" s="8">
        <v>6105</v>
      </c>
      <c r="BC187" s="8">
        <v>8798</v>
      </c>
      <c r="BD187" s="8">
        <v>5892</v>
      </c>
      <c r="BE187" s="8">
        <v>10804</v>
      </c>
      <c r="BF187" s="8">
        <v>10327</v>
      </c>
      <c r="BG187" s="8">
        <v>7428</v>
      </c>
      <c r="BH187" s="8">
        <v>5991</v>
      </c>
      <c r="BI187" s="8">
        <v>6170</v>
      </c>
      <c r="BJ187" s="8">
        <v>8108</v>
      </c>
      <c r="BK187" s="8">
        <v>8831</v>
      </c>
      <c r="BL187" s="8">
        <v>7292</v>
      </c>
      <c r="BM187" s="8">
        <v>7386</v>
      </c>
      <c r="BN187" s="8">
        <v>4407</v>
      </c>
      <c r="BO187" s="8">
        <v>5748</v>
      </c>
      <c r="BP187" s="8">
        <v>3833</v>
      </c>
      <c r="BQ187" s="8">
        <v>7905</v>
      </c>
      <c r="BR187" s="8">
        <v>6854</v>
      </c>
      <c r="BS187" s="8">
        <v>9316</v>
      </c>
      <c r="BT187" s="8">
        <v>6020</v>
      </c>
      <c r="BU187" s="8">
        <v>5634</v>
      </c>
      <c r="BV187" s="8">
        <v>5294</v>
      </c>
      <c r="BW187" s="8">
        <v>8042</v>
      </c>
      <c r="BX187" s="8">
        <v>9624</v>
      </c>
      <c r="BY187" s="8">
        <v>9442</v>
      </c>
      <c r="BZ187" s="8">
        <v>7774</v>
      </c>
      <c r="CA187" s="8">
        <v>8565</v>
      </c>
      <c r="CB187" s="8">
        <v>6857</v>
      </c>
      <c r="CC187" s="8">
        <v>7498</v>
      </c>
      <c r="CD187" s="8">
        <v>6371</v>
      </c>
      <c r="CE187" s="8">
        <v>9707</v>
      </c>
      <c r="CF187" s="8">
        <v>7546</v>
      </c>
      <c r="CG187" s="8">
        <v>7398</v>
      </c>
      <c r="CH187" s="8">
        <v>6903</v>
      </c>
      <c r="CJ187" s="9"/>
      <c r="CK187" s="9"/>
      <c r="CL187" s="9"/>
      <c r="CM187" s="9"/>
      <c r="CN187" s="9"/>
      <c r="CO187" s="9"/>
      <c r="CP187" s="9"/>
      <c r="CQ187" s="9"/>
      <c r="CR187" s="9"/>
      <c r="CS187" s="9"/>
      <c r="CT187" s="9"/>
      <c r="CU187" s="9"/>
      <c r="CV187" s="9"/>
      <c r="CW187" s="9"/>
      <c r="CX187" s="9"/>
      <c r="CY187" s="9"/>
      <c r="CZ187" s="9"/>
      <c r="DA187" s="9"/>
      <c r="DB187" s="9"/>
      <c r="DC187" s="9"/>
      <c r="DD187" s="9"/>
      <c r="DE187" s="9"/>
      <c r="DF187" s="9"/>
      <c r="DG187" s="9"/>
      <c r="DH187" s="9"/>
      <c r="DI187" s="9"/>
      <c r="DJ187" s="9"/>
      <c r="DK187" s="9"/>
      <c r="DL187" s="9"/>
      <c r="DM187" s="9"/>
      <c r="DN187" s="9"/>
      <c r="DO187" s="9"/>
      <c r="DP187" s="9"/>
      <c r="DQ187" s="9"/>
      <c r="DR187" s="9"/>
      <c r="DS187" s="9"/>
      <c r="DT187" s="9"/>
      <c r="DU187" s="9"/>
      <c r="DV187" s="9"/>
      <c r="DW187" s="9"/>
      <c r="DX187" s="9"/>
      <c r="DY187" s="9"/>
      <c r="DZ187" s="9"/>
      <c r="EA187" s="9"/>
      <c r="EB187" s="9"/>
      <c r="EC187" s="9"/>
      <c r="ED187" s="9"/>
      <c r="EE187" s="9"/>
      <c r="EF187" s="9"/>
      <c r="EG187" s="9"/>
      <c r="EH187" s="9"/>
      <c r="EI187" s="9"/>
      <c r="EJ187" s="9"/>
      <c r="EK187" s="9"/>
      <c r="EL187" s="9"/>
      <c r="EM187" s="9"/>
      <c r="EN187" s="9"/>
      <c r="EO187" s="9"/>
      <c r="EP187" s="9"/>
      <c r="EQ187" s="9"/>
      <c r="ER187" s="9"/>
      <c r="ES187" s="9"/>
      <c r="ET187" s="9"/>
      <c r="EU187" s="9"/>
      <c r="EV187" s="9"/>
      <c r="EW187" s="9"/>
      <c r="EX187" s="9"/>
      <c r="EY187" s="9"/>
      <c r="EZ187" s="9"/>
      <c r="FA187" s="9"/>
      <c r="FB187" s="9"/>
      <c r="FC187" s="9"/>
      <c r="FD187" s="9"/>
      <c r="FE187" s="9"/>
      <c r="FF187" s="9"/>
      <c r="FG187" s="9"/>
      <c r="FH187" s="9"/>
      <c r="FI187" s="9"/>
    </row>
    <row r="188" spans="1:165" x14ac:dyDescent="0.2">
      <c r="A188" s="1" t="s">
        <v>1332</v>
      </c>
      <c r="B188" s="1" t="s">
        <v>1333</v>
      </c>
      <c r="C188" s="1" t="s">
        <v>533</v>
      </c>
      <c r="D188" s="1" t="str">
        <f>HYPERLINK("http://eros.fiehnlab.ucdavis.edu:8080/binbase-compound/bin/show/204426?db=rtx5","204426")</f>
        <v>204426</v>
      </c>
      <c r="E188" s="1" t="s">
        <v>1334</v>
      </c>
      <c r="F188" s="1" t="s">
        <v>184</v>
      </c>
      <c r="G188" s="1" t="s">
        <v>184</v>
      </c>
      <c r="H188" s="1"/>
      <c r="I188" s="8">
        <v>1876</v>
      </c>
      <c r="J188" s="8">
        <v>7042</v>
      </c>
      <c r="K188" s="8">
        <v>2507</v>
      </c>
      <c r="L188" s="8">
        <v>1134</v>
      </c>
      <c r="M188" s="8">
        <v>2806</v>
      </c>
      <c r="N188" s="8">
        <v>6887</v>
      </c>
      <c r="O188" s="8">
        <v>1035</v>
      </c>
      <c r="P188" s="8">
        <v>6050</v>
      </c>
      <c r="Q188" s="8">
        <v>869</v>
      </c>
      <c r="R188" s="8">
        <v>6567</v>
      </c>
      <c r="S188" s="8">
        <v>785</v>
      </c>
      <c r="T188" s="8">
        <v>2842</v>
      </c>
      <c r="U188" s="8">
        <v>6252</v>
      </c>
      <c r="V188" s="8">
        <v>1011</v>
      </c>
      <c r="W188" s="8">
        <v>380</v>
      </c>
      <c r="X188" s="8">
        <v>1435</v>
      </c>
      <c r="Y188" s="8">
        <v>616</v>
      </c>
      <c r="Z188" s="8">
        <v>6468</v>
      </c>
      <c r="AA188" s="8">
        <v>2143</v>
      </c>
      <c r="AB188" s="8">
        <v>1091</v>
      </c>
      <c r="AC188" s="8">
        <v>333</v>
      </c>
      <c r="AD188" s="8">
        <v>1266</v>
      </c>
      <c r="AE188" s="8">
        <v>853</v>
      </c>
      <c r="AF188" s="8">
        <v>2930</v>
      </c>
      <c r="AG188" s="8">
        <v>3920</v>
      </c>
      <c r="AH188" s="8">
        <v>5082</v>
      </c>
      <c r="AI188" s="8">
        <v>3493</v>
      </c>
      <c r="AJ188" s="8">
        <v>118590</v>
      </c>
      <c r="AK188" s="8">
        <v>1088</v>
      </c>
      <c r="AL188" s="8">
        <v>5462</v>
      </c>
      <c r="AM188" s="8">
        <v>1545</v>
      </c>
      <c r="AN188" s="8">
        <v>2812</v>
      </c>
      <c r="AO188" s="8">
        <v>1075</v>
      </c>
      <c r="AP188" s="8">
        <v>1162</v>
      </c>
      <c r="AQ188" s="8">
        <v>2338</v>
      </c>
      <c r="AR188" s="8">
        <v>3084</v>
      </c>
      <c r="AS188" s="8">
        <v>2373</v>
      </c>
      <c r="AT188" s="8">
        <v>1724</v>
      </c>
      <c r="AU188" s="8">
        <v>1080</v>
      </c>
      <c r="AV188" s="8">
        <v>2572</v>
      </c>
      <c r="AW188" s="8">
        <v>5463</v>
      </c>
      <c r="AX188" s="8">
        <v>1340</v>
      </c>
      <c r="AY188" s="8">
        <v>2235</v>
      </c>
      <c r="AZ188" s="8">
        <v>2759</v>
      </c>
      <c r="BA188" s="8">
        <v>1371</v>
      </c>
      <c r="BB188" s="8">
        <v>1217</v>
      </c>
      <c r="BC188" s="8">
        <v>951</v>
      </c>
      <c r="BD188" s="8">
        <v>877</v>
      </c>
      <c r="BE188" s="8">
        <v>784</v>
      </c>
      <c r="BF188" s="8">
        <v>244</v>
      </c>
      <c r="BG188" s="8">
        <v>422</v>
      </c>
      <c r="BH188" s="8">
        <v>2684</v>
      </c>
      <c r="BI188" s="8">
        <v>1158</v>
      </c>
      <c r="BJ188" s="8">
        <v>2085</v>
      </c>
      <c r="BK188" s="8">
        <v>4901</v>
      </c>
      <c r="BL188" s="8">
        <v>1015</v>
      </c>
      <c r="BM188" s="8">
        <v>7912</v>
      </c>
      <c r="BN188" s="8">
        <v>849</v>
      </c>
      <c r="BO188" s="8">
        <v>2801</v>
      </c>
      <c r="BP188" s="8">
        <v>1806</v>
      </c>
      <c r="BQ188" s="8">
        <v>1257</v>
      </c>
      <c r="BR188" s="8">
        <v>1704</v>
      </c>
      <c r="BS188" s="8">
        <v>3905</v>
      </c>
      <c r="BT188" s="8">
        <v>674</v>
      </c>
      <c r="BU188" s="8">
        <v>4231</v>
      </c>
      <c r="BV188" s="8">
        <v>1159</v>
      </c>
      <c r="BW188" s="8">
        <v>2561</v>
      </c>
      <c r="BX188" s="8">
        <v>3028</v>
      </c>
      <c r="BY188" s="8">
        <v>1344</v>
      </c>
      <c r="BZ188" s="8">
        <v>776</v>
      </c>
      <c r="CA188" s="8">
        <v>2012</v>
      </c>
      <c r="CB188" s="8">
        <v>691</v>
      </c>
      <c r="CC188" s="8">
        <v>3368</v>
      </c>
      <c r="CD188" s="8">
        <v>898</v>
      </c>
      <c r="CE188" s="8">
        <v>2092</v>
      </c>
      <c r="CF188" s="8">
        <v>1340</v>
      </c>
      <c r="CG188" s="8">
        <v>22733</v>
      </c>
      <c r="CH188" s="8">
        <v>3451</v>
      </c>
      <c r="CJ188" s="9"/>
      <c r="CK188" s="9"/>
      <c r="CL188" s="9"/>
      <c r="CM188" s="9"/>
      <c r="CN188" s="9"/>
      <c r="CO188" s="9"/>
      <c r="CP188" s="9"/>
      <c r="CQ188" s="9"/>
      <c r="CR188" s="9"/>
      <c r="CS188" s="9"/>
      <c r="CT188" s="9"/>
      <c r="CU188" s="9"/>
      <c r="CV188" s="9"/>
      <c r="CW188" s="9"/>
      <c r="CX188" s="9"/>
      <c r="CY188" s="9"/>
      <c r="CZ188" s="9"/>
      <c r="DA188" s="9"/>
      <c r="DB188" s="9"/>
      <c r="DC188" s="9"/>
      <c r="DD188" s="9"/>
      <c r="DE188" s="9"/>
      <c r="DF188" s="9"/>
      <c r="DG188" s="9"/>
      <c r="DH188" s="9"/>
      <c r="DI188" s="9"/>
      <c r="DJ188" s="9"/>
      <c r="DK188" s="9"/>
      <c r="DL188" s="9"/>
      <c r="DM188" s="9"/>
      <c r="DN188" s="9"/>
      <c r="DO188" s="9"/>
      <c r="DP188" s="9"/>
      <c r="DQ188" s="9"/>
      <c r="DR188" s="9"/>
      <c r="DS188" s="9"/>
      <c r="DT188" s="9"/>
      <c r="DU188" s="9"/>
      <c r="DV188" s="9"/>
      <c r="DW188" s="9"/>
      <c r="DX188" s="9"/>
      <c r="DY188" s="9"/>
      <c r="DZ188" s="9"/>
      <c r="EA188" s="9"/>
      <c r="EB188" s="9"/>
      <c r="EC188" s="9"/>
      <c r="ED188" s="9"/>
      <c r="EE188" s="9"/>
      <c r="EF188" s="9"/>
      <c r="EG188" s="9"/>
      <c r="EH188" s="9"/>
      <c r="EI188" s="9"/>
      <c r="EJ188" s="9"/>
      <c r="EK188" s="9"/>
      <c r="EL188" s="9"/>
      <c r="EM188" s="9"/>
      <c r="EN188" s="9"/>
      <c r="EO188" s="9"/>
      <c r="EP188" s="9"/>
      <c r="EQ188" s="9"/>
      <c r="ER188" s="9"/>
      <c r="ES188" s="9"/>
      <c r="ET188" s="9"/>
      <c r="EU188" s="9"/>
      <c r="EV188" s="9"/>
      <c r="EW188" s="9"/>
      <c r="EX188" s="9"/>
      <c r="EY188" s="9"/>
      <c r="EZ188" s="9"/>
      <c r="FA188" s="9"/>
      <c r="FB188" s="9"/>
      <c r="FC188" s="9"/>
      <c r="FD188" s="9"/>
      <c r="FE188" s="9"/>
      <c r="FF188" s="9"/>
      <c r="FG188" s="9"/>
      <c r="FH188" s="9"/>
      <c r="FI188" s="9"/>
    </row>
    <row r="189" spans="1:165" x14ac:dyDescent="0.2">
      <c r="A189" s="1" t="s">
        <v>1329</v>
      </c>
      <c r="B189" s="1" t="s">
        <v>1330</v>
      </c>
      <c r="C189" s="1" t="s">
        <v>848</v>
      </c>
      <c r="D189" s="1" t="str">
        <f>HYPERLINK("http://eros.fiehnlab.ucdavis.edu:8080/binbase-compound/bin/show/204448?db=rtx5","204448")</f>
        <v>204448</v>
      </c>
      <c r="E189" s="1" t="s">
        <v>1331</v>
      </c>
      <c r="F189" s="1" t="s">
        <v>184</v>
      </c>
      <c r="G189" s="1" t="s">
        <v>184</v>
      </c>
      <c r="H189" s="1"/>
      <c r="I189" s="8">
        <v>2341</v>
      </c>
      <c r="J189" s="8">
        <v>1551</v>
      </c>
      <c r="K189" s="8">
        <v>1589</v>
      </c>
      <c r="L189" s="8">
        <v>1969</v>
      </c>
      <c r="M189" s="8">
        <v>3158</v>
      </c>
      <c r="N189" s="8">
        <v>2519</v>
      </c>
      <c r="O189" s="8">
        <v>1379</v>
      </c>
      <c r="P189" s="8">
        <v>1912</v>
      </c>
      <c r="Q189" s="8">
        <v>2247</v>
      </c>
      <c r="R189" s="8">
        <v>2623</v>
      </c>
      <c r="S189" s="8">
        <v>2354</v>
      </c>
      <c r="T189" s="8">
        <v>1858</v>
      </c>
      <c r="U189" s="8">
        <v>1446</v>
      </c>
      <c r="V189" s="8">
        <v>1440</v>
      </c>
      <c r="W189" s="8">
        <v>2444</v>
      </c>
      <c r="X189" s="8">
        <v>2738</v>
      </c>
      <c r="Y189" s="8">
        <v>2094</v>
      </c>
      <c r="Z189" s="8">
        <v>2635</v>
      </c>
      <c r="AA189" s="8">
        <v>1336</v>
      </c>
      <c r="AB189" s="8">
        <v>1179</v>
      </c>
      <c r="AC189" s="8">
        <v>1702</v>
      </c>
      <c r="AD189" s="8">
        <v>1213</v>
      </c>
      <c r="AE189" s="8">
        <v>3414</v>
      </c>
      <c r="AF189" s="8">
        <v>2318</v>
      </c>
      <c r="AG189" s="8">
        <v>758</v>
      </c>
      <c r="AH189" s="8">
        <v>1314</v>
      </c>
      <c r="AI189" s="8">
        <v>1364</v>
      </c>
      <c r="AJ189" s="8">
        <v>3459</v>
      </c>
      <c r="AK189" s="8">
        <v>1951</v>
      </c>
      <c r="AL189" s="8">
        <v>2839</v>
      </c>
      <c r="AM189" s="8">
        <v>1237</v>
      </c>
      <c r="AN189" s="8">
        <v>1697</v>
      </c>
      <c r="AO189" s="8">
        <v>1955</v>
      </c>
      <c r="AP189" s="8">
        <v>4424</v>
      </c>
      <c r="AQ189" s="8">
        <v>2884</v>
      </c>
      <c r="AR189" s="8">
        <v>2434</v>
      </c>
      <c r="AS189" s="8">
        <v>1443</v>
      </c>
      <c r="AT189" s="8">
        <v>2011</v>
      </c>
      <c r="AU189" s="8">
        <v>1565</v>
      </c>
      <c r="AV189" s="8">
        <v>1023</v>
      </c>
      <c r="AW189" s="8">
        <v>3447</v>
      </c>
      <c r="AX189" s="8">
        <v>2052</v>
      </c>
      <c r="AY189" s="8">
        <v>943</v>
      </c>
      <c r="AZ189" s="8">
        <v>2749</v>
      </c>
      <c r="BA189" s="8">
        <v>2734</v>
      </c>
      <c r="BB189" s="8">
        <v>3392</v>
      </c>
      <c r="BC189" s="8">
        <v>3326</v>
      </c>
      <c r="BD189" s="8">
        <v>2764</v>
      </c>
      <c r="BE189" s="8">
        <v>753</v>
      </c>
      <c r="BF189" s="8">
        <v>1247</v>
      </c>
      <c r="BG189" s="8">
        <v>907</v>
      </c>
      <c r="BH189" s="8">
        <v>1155</v>
      </c>
      <c r="BI189" s="8">
        <v>1966</v>
      </c>
      <c r="BJ189" s="8">
        <v>2129</v>
      </c>
      <c r="BK189" s="8">
        <v>1578</v>
      </c>
      <c r="BL189" s="8">
        <v>1946</v>
      </c>
      <c r="BM189" s="8">
        <v>1519</v>
      </c>
      <c r="BN189" s="8">
        <v>2311</v>
      </c>
      <c r="BO189" s="8">
        <v>2513</v>
      </c>
      <c r="BP189" s="8">
        <v>2562</v>
      </c>
      <c r="BQ189" s="8">
        <v>1126</v>
      </c>
      <c r="BR189" s="8">
        <v>1620</v>
      </c>
      <c r="BS189" s="8">
        <v>1117</v>
      </c>
      <c r="BT189" s="8">
        <v>2297</v>
      </c>
      <c r="BU189" s="8">
        <v>1964</v>
      </c>
      <c r="BV189" s="8">
        <v>2916</v>
      </c>
      <c r="BW189" s="8">
        <v>1420</v>
      </c>
      <c r="BX189" s="8">
        <v>1389</v>
      </c>
      <c r="BY189" s="8">
        <v>1122</v>
      </c>
      <c r="BZ189" s="8">
        <v>3013</v>
      </c>
      <c r="CA189" s="8">
        <v>2926</v>
      </c>
      <c r="CB189" s="8">
        <v>2533</v>
      </c>
      <c r="CC189" s="8">
        <v>1445</v>
      </c>
      <c r="CD189" s="8">
        <v>1209</v>
      </c>
      <c r="CE189" s="8">
        <v>1499</v>
      </c>
      <c r="CF189" s="8">
        <v>1659</v>
      </c>
      <c r="CG189" s="8">
        <v>2212</v>
      </c>
      <c r="CH189" s="8">
        <v>2606</v>
      </c>
      <c r="CJ189" s="9"/>
      <c r="CK189" s="9"/>
      <c r="CL189" s="9"/>
      <c r="CM189" s="9"/>
      <c r="CN189" s="9"/>
      <c r="CO189" s="9"/>
      <c r="CP189" s="9"/>
      <c r="CQ189" s="9"/>
      <c r="CR189" s="9"/>
      <c r="CS189" s="9"/>
      <c r="CT189" s="9"/>
      <c r="CU189" s="9"/>
      <c r="CV189" s="9"/>
      <c r="CW189" s="9"/>
      <c r="CX189" s="9"/>
      <c r="CY189" s="9"/>
      <c r="CZ189" s="9"/>
      <c r="DA189" s="9"/>
      <c r="DB189" s="9"/>
      <c r="DC189" s="9"/>
      <c r="DD189" s="9"/>
      <c r="DE189" s="9"/>
      <c r="DF189" s="9"/>
      <c r="DG189" s="9"/>
      <c r="DH189" s="9"/>
      <c r="DI189" s="9"/>
      <c r="DJ189" s="9"/>
      <c r="DK189" s="9"/>
      <c r="DL189" s="9"/>
      <c r="DM189" s="9"/>
      <c r="DN189" s="9"/>
      <c r="DO189" s="9"/>
      <c r="DP189" s="9"/>
      <c r="DQ189" s="9"/>
      <c r="DR189" s="9"/>
      <c r="DS189" s="9"/>
      <c r="DT189" s="9"/>
      <c r="DU189" s="9"/>
      <c r="DV189" s="9"/>
      <c r="DW189" s="9"/>
      <c r="DX189" s="9"/>
      <c r="DY189" s="9"/>
      <c r="DZ189" s="9"/>
      <c r="EA189" s="9"/>
      <c r="EB189" s="9"/>
      <c r="EC189" s="9"/>
      <c r="ED189" s="9"/>
      <c r="EE189" s="9"/>
      <c r="EF189" s="9"/>
      <c r="EG189" s="9"/>
      <c r="EH189" s="9"/>
      <c r="EI189" s="9"/>
      <c r="EJ189" s="9"/>
      <c r="EK189" s="9"/>
      <c r="EL189" s="9"/>
      <c r="EM189" s="9"/>
      <c r="EN189" s="9"/>
      <c r="EO189" s="9"/>
      <c r="EP189" s="9"/>
      <c r="EQ189" s="9"/>
      <c r="ER189" s="9"/>
      <c r="ES189" s="9"/>
      <c r="ET189" s="9"/>
      <c r="EU189" s="9"/>
      <c r="EV189" s="9"/>
      <c r="EW189" s="9"/>
      <c r="EX189" s="9"/>
      <c r="EY189" s="9"/>
      <c r="EZ189" s="9"/>
      <c r="FA189" s="9"/>
      <c r="FB189" s="9"/>
      <c r="FC189" s="9"/>
      <c r="FD189" s="9"/>
      <c r="FE189" s="9"/>
      <c r="FF189" s="9"/>
      <c r="FG189" s="9"/>
      <c r="FH189" s="9"/>
      <c r="FI189" s="9"/>
    </row>
    <row r="190" spans="1:165" x14ac:dyDescent="0.2">
      <c r="A190" s="1" t="s">
        <v>1143</v>
      </c>
      <c r="B190" s="1" t="s">
        <v>1144</v>
      </c>
      <c r="C190" s="1" t="s">
        <v>485</v>
      </c>
      <c r="D190" s="1" t="str">
        <f>HYPERLINK("http://eros.fiehnlab.ucdavis.edu:8080/binbase-compound/bin/show/228135?db=rtx5","228135")</f>
        <v>228135</v>
      </c>
      <c r="E190" s="1" t="s">
        <v>1145</v>
      </c>
      <c r="F190" s="1" t="s">
        <v>184</v>
      </c>
      <c r="G190" s="1" t="s">
        <v>184</v>
      </c>
      <c r="H190" s="1"/>
      <c r="I190" s="8">
        <v>1161</v>
      </c>
      <c r="J190" s="8">
        <v>1158</v>
      </c>
      <c r="K190" s="8">
        <v>923</v>
      </c>
      <c r="L190" s="8">
        <v>1366</v>
      </c>
      <c r="M190" s="8">
        <v>1154</v>
      </c>
      <c r="N190" s="8">
        <v>1473</v>
      </c>
      <c r="O190" s="8">
        <v>422</v>
      </c>
      <c r="P190" s="8">
        <v>387</v>
      </c>
      <c r="Q190" s="8">
        <v>364</v>
      </c>
      <c r="R190" s="8">
        <v>433</v>
      </c>
      <c r="S190" s="8">
        <v>488</v>
      </c>
      <c r="T190" s="8">
        <v>345</v>
      </c>
      <c r="U190" s="8">
        <v>443</v>
      </c>
      <c r="V190" s="8">
        <v>443</v>
      </c>
      <c r="W190" s="8">
        <v>437</v>
      </c>
      <c r="X190" s="8">
        <v>378</v>
      </c>
      <c r="Y190" s="8">
        <v>277</v>
      </c>
      <c r="Z190" s="8">
        <v>352</v>
      </c>
      <c r="AA190" s="8">
        <v>287</v>
      </c>
      <c r="AB190" s="8">
        <v>327</v>
      </c>
      <c r="AC190" s="8">
        <v>381</v>
      </c>
      <c r="AD190" s="8">
        <v>451</v>
      </c>
      <c r="AE190" s="8">
        <v>493</v>
      </c>
      <c r="AF190" s="8">
        <v>285</v>
      </c>
      <c r="AG190" s="8">
        <v>425</v>
      </c>
      <c r="AH190" s="8">
        <v>485</v>
      </c>
      <c r="AI190" s="8">
        <v>496</v>
      </c>
      <c r="AJ190" s="8">
        <v>578</v>
      </c>
      <c r="AK190" s="8">
        <v>522</v>
      </c>
      <c r="AL190" s="8">
        <v>463</v>
      </c>
      <c r="AM190" s="8">
        <v>402</v>
      </c>
      <c r="AN190" s="8">
        <v>378</v>
      </c>
      <c r="AO190" s="8">
        <v>366</v>
      </c>
      <c r="AP190" s="8">
        <v>339</v>
      </c>
      <c r="AQ190" s="8">
        <v>319</v>
      </c>
      <c r="AR190" s="8">
        <v>350</v>
      </c>
      <c r="AS190" s="8">
        <v>333</v>
      </c>
      <c r="AT190" s="8">
        <v>354</v>
      </c>
      <c r="AU190" s="8">
        <v>259</v>
      </c>
      <c r="AV190" s="8">
        <v>334</v>
      </c>
      <c r="AW190" s="8">
        <v>445</v>
      </c>
      <c r="AX190" s="8">
        <v>327</v>
      </c>
      <c r="AY190" s="8">
        <v>195</v>
      </c>
      <c r="AZ190" s="8">
        <v>253</v>
      </c>
      <c r="BA190" s="8">
        <v>165</v>
      </c>
      <c r="BB190" s="8">
        <v>247</v>
      </c>
      <c r="BC190" s="8">
        <v>247</v>
      </c>
      <c r="BD190" s="8">
        <v>253</v>
      </c>
      <c r="BE190" s="8">
        <v>419</v>
      </c>
      <c r="BF190" s="8">
        <v>331</v>
      </c>
      <c r="BG190" s="8">
        <v>499</v>
      </c>
      <c r="BH190" s="8">
        <v>487</v>
      </c>
      <c r="BI190" s="8">
        <v>479</v>
      </c>
      <c r="BJ190" s="8">
        <v>443</v>
      </c>
      <c r="BK190" s="8">
        <v>481</v>
      </c>
      <c r="BL190" s="8">
        <v>349</v>
      </c>
      <c r="BM190" s="8">
        <v>359</v>
      </c>
      <c r="BN190" s="8">
        <v>376</v>
      </c>
      <c r="BO190" s="8">
        <v>518</v>
      </c>
      <c r="BP190" s="8">
        <v>508</v>
      </c>
      <c r="BQ190" s="8">
        <v>408</v>
      </c>
      <c r="BR190" s="8">
        <v>550</v>
      </c>
      <c r="BS190" s="8">
        <v>487</v>
      </c>
      <c r="BT190" s="8">
        <v>385</v>
      </c>
      <c r="BU190" s="8">
        <v>341</v>
      </c>
      <c r="BV190" s="8">
        <v>596</v>
      </c>
      <c r="BW190" s="8">
        <v>514</v>
      </c>
      <c r="BX190" s="8">
        <v>399</v>
      </c>
      <c r="BY190" s="8">
        <v>398</v>
      </c>
      <c r="BZ190" s="8">
        <v>343</v>
      </c>
      <c r="CA190" s="8">
        <v>460</v>
      </c>
      <c r="CB190" s="8">
        <v>436</v>
      </c>
      <c r="CC190" s="8">
        <v>538</v>
      </c>
      <c r="CD190" s="8">
        <v>345</v>
      </c>
      <c r="CE190" s="8">
        <v>591</v>
      </c>
      <c r="CF190" s="8">
        <v>402</v>
      </c>
      <c r="CG190" s="8">
        <v>391</v>
      </c>
      <c r="CH190" s="8">
        <v>411</v>
      </c>
      <c r="CJ190" s="9"/>
      <c r="CK190" s="9"/>
      <c r="CL190" s="9"/>
      <c r="CM190" s="9"/>
      <c r="CN190" s="9"/>
      <c r="CO190" s="9"/>
      <c r="CP190" s="9"/>
      <c r="CQ190" s="9"/>
      <c r="CR190" s="9"/>
      <c r="CS190" s="9"/>
      <c r="CT190" s="9"/>
      <c r="CU190" s="9"/>
      <c r="CV190" s="9"/>
      <c r="CW190" s="9"/>
      <c r="CX190" s="9"/>
      <c r="CY190" s="9"/>
      <c r="CZ190" s="9"/>
      <c r="DA190" s="9"/>
      <c r="DB190" s="9"/>
      <c r="DC190" s="9"/>
      <c r="DD190" s="9"/>
      <c r="DE190" s="9"/>
      <c r="DF190" s="9"/>
      <c r="DG190" s="9"/>
      <c r="DH190" s="9"/>
      <c r="DI190" s="9"/>
      <c r="DJ190" s="9"/>
      <c r="DK190" s="9"/>
      <c r="DL190" s="9"/>
      <c r="DM190" s="9"/>
      <c r="DN190" s="9"/>
      <c r="DO190" s="9"/>
      <c r="DP190" s="9"/>
      <c r="DQ190" s="9"/>
      <c r="DR190" s="9"/>
      <c r="DS190" s="9"/>
      <c r="DT190" s="9"/>
      <c r="DU190" s="9"/>
      <c r="DV190" s="9"/>
      <c r="DW190" s="9"/>
      <c r="DX190" s="9"/>
      <c r="DY190" s="9"/>
      <c r="DZ190" s="9"/>
      <c r="EA190" s="9"/>
      <c r="EB190" s="9"/>
      <c r="EC190" s="9"/>
      <c r="ED190" s="9"/>
      <c r="EE190" s="9"/>
      <c r="EF190" s="9"/>
      <c r="EG190" s="9"/>
      <c r="EH190" s="9"/>
      <c r="EI190" s="9"/>
      <c r="EJ190" s="9"/>
      <c r="EK190" s="9"/>
      <c r="EL190" s="9"/>
      <c r="EM190" s="9"/>
      <c r="EN190" s="9"/>
      <c r="EO190" s="9"/>
      <c r="EP190" s="9"/>
      <c r="EQ190" s="9"/>
      <c r="ER190" s="9"/>
      <c r="ES190" s="9"/>
      <c r="ET190" s="9"/>
      <c r="EU190" s="9"/>
      <c r="EV190" s="9"/>
      <c r="EW190" s="9"/>
      <c r="EX190" s="9"/>
      <c r="EY190" s="9"/>
      <c r="EZ190" s="9"/>
      <c r="FA190" s="9"/>
      <c r="FB190" s="9"/>
      <c r="FC190" s="9"/>
      <c r="FD190" s="9"/>
      <c r="FE190" s="9"/>
      <c r="FF190" s="9"/>
      <c r="FG190" s="9"/>
      <c r="FH190" s="9"/>
      <c r="FI190" s="9"/>
    </row>
    <row r="191" spans="1:165" x14ac:dyDescent="0.2">
      <c r="A191" s="1" t="s">
        <v>1216</v>
      </c>
      <c r="B191" s="1" t="s">
        <v>1217</v>
      </c>
      <c r="C191" s="1" t="s">
        <v>987</v>
      </c>
      <c r="D191" s="1" t="str">
        <f>HYPERLINK("http://eros.fiehnlab.ucdavis.edu:8080/binbase-compound/bin/show/223521?db=rtx5","223521")</f>
        <v>223521</v>
      </c>
      <c r="E191" s="1" t="s">
        <v>1218</v>
      </c>
      <c r="F191" s="1" t="s">
        <v>184</v>
      </c>
      <c r="G191" s="1" t="s">
        <v>184</v>
      </c>
      <c r="H191" s="1"/>
      <c r="I191" s="8">
        <v>481</v>
      </c>
      <c r="J191" s="8">
        <v>477</v>
      </c>
      <c r="K191" s="8">
        <v>421</v>
      </c>
      <c r="L191" s="8">
        <v>408</v>
      </c>
      <c r="M191" s="8">
        <v>272</v>
      </c>
      <c r="N191" s="8">
        <v>211</v>
      </c>
      <c r="O191" s="8">
        <v>280</v>
      </c>
      <c r="P191" s="8">
        <v>551</v>
      </c>
      <c r="Q191" s="8">
        <v>371</v>
      </c>
      <c r="R191" s="8">
        <v>181</v>
      </c>
      <c r="S191" s="8">
        <v>310</v>
      </c>
      <c r="T191" s="8">
        <v>277</v>
      </c>
      <c r="U191" s="8">
        <v>536</v>
      </c>
      <c r="V191" s="8">
        <v>440</v>
      </c>
      <c r="W191" s="8">
        <v>175</v>
      </c>
      <c r="X191" s="8">
        <v>460</v>
      </c>
      <c r="Y191" s="8">
        <v>212</v>
      </c>
      <c r="Z191" s="8">
        <v>167</v>
      </c>
      <c r="AA191" s="8">
        <v>228</v>
      </c>
      <c r="AB191" s="8">
        <v>121</v>
      </c>
      <c r="AC191" s="8">
        <v>332</v>
      </c>
      <c r="AD191" s="8">
        <v>447</v>
      </c>
      <c r="AE191" s="8">
        <v>292</v>
      </c>
      <c r="AF191" s="8">
        <v>82</v>
      </c>
      <c r="AG191" s="8">
        <v>232</v>
      </c>
      <c r="AH191" s="8">
        <v>438</v>
      </c>
      <c r="AI191" s="8">
        <v>206</v>
      </c>
      <c r="AJ191" s="8">
        <v>539</v>
      </c>
      <c r="AK191" s="8">
        <v>239</v>
      </c>
      <c r="AL191" s="8">
        <v>189</v>
      </c>
      <c r="AM191" s="8">
        <v>558</v>
      </c>
      <c r="AN191" s="8">
        <v>236</v>
      </c>
      <c r="AO191" s="8">
        <v>493</v>
      </c>
      <c r="AP191" s="8">
        <v>561</v>
      </c>
      <c r="AQ191" s="8">
        <v>114</v>
      </c>
      <c r="AR191" s="8">
        <v>86</v>
      </c>
      <c r="AS191" s="8">
        <v>56</v>
      </c>
      <c r="AT191" s="8">
        <v>160</v>
      </c>
      <c r="AU191" s="8">
        <v>468</v>
      </c>
      <c r="AV191" s="8">
        <v>189</v>
      </c>
      <c r="AW191" s="8">
        <v>168</v>
      </c>
      <c r="AX191" s="8">
        <v>155</v>
      </c>
      <c r="AY191" s="8">
        <v>554</v>
      </c>
      <c r="AZ191" s="8">
        <v>78</v>
      </c>
      <c r="BA191" s="8">
        <v>144</v>
      </c>
      <c r="BB191" s="8">
        <v>112</v>
      </c>
      <c r="BC191" s="8">
        <v>289</v>
      </c>
      <c r="BD191" s="8">
        <v>196</v>
      </c>
      <c r="BE191" s="8">
        <v>463</v>
      </c>
      <c r="BF191" s="8">
        <v>241</v>
      </c>
      <c r="BG191" s="8">
        <v>423</v>
      </c>
      <c r="BH191" s="8">
        <v>76</v>
      </c>
      <c r="BI191" s="8">
        <v>101</v>
      </c>
      <c r="BJ191" s="8">
        <v>242</v>
      </c>
      <c r="BK191" s="8">
        <v>274</v>
      </c>
      <c r="BL191" s="8">
        <v>439</v>
      </c>
      <c r="BM191" s="8">
        <v>509</v>
      </c>
      <c r="BN191" s="8">
        <v>216</v>
      </c>
      <c r="BO191" s="8">
        <v>199</v>
      </c>
      <c r="BP191" s="8">
        <v>384</v>
      </c>
      <c r="BQ191" s="8">
        <v>213</v>
      </c>
      <c r="BR191" s="8">
        <v>221</v>
      </c>
      <c r="BS191" s="8">
        <v>328</v>
      </c>
      <c r="BT191" s="8">
        <v>182</v>
      </c>
      <c r="BU191" s="8">
        <v>215</v>
      </c>
      <c r="BV191" s="8">
        <v>257</v>
      </c>
      <c r="BW191" s="8">
        <v>427</v>
      </c>
      <c r="BX191" s="8">
        <v>401</v>
      </c>
      <c r="BY191" s="8">
        <v>220</v>
      </c>
      <c r="BZ191" s="8">
        <v>341</v>
      </c>
      <c r="CA191" s="8">
        <v>100</v>
      </c>
      <c r="CB191" s="8">
        <v>98</v>
      </c>
      <c r="CC191" s="8">
        <v>157</v>
      </c>
      <c r="CD191" s="8">
        <v>128</v>
      </c>
      <c r="CE191" s="8">
        <v>173</v>
      </c>
      <c r="CF191" s="8">
        <v>217</v>
      </c>
      <c r="CG191" s="8">
        <v>168</v>
      </c>
      <c r="CH191" s="8">
        <v>151</v>
      </c>
      <c r="CJ191" s="9"/>
      <c r="CK191" s="9"/>
      <c r="CL191" s="9"/>
      <c r="CM191" s="9"/>
      <c r="CN191" s="9"/>
      <c r="CO191" s="9"/>
      <c r="CP191" s="9"/>
      <c r="CQ191" s="9"/>
      <c r="CR191" s="9"/>
      <c r="CS191" s="9"/>
      <c r="CT191" s="9"/>
      <c r="CU191" s="9"/>
      <c r="CV191" s="9"/>
      <c r="CW191" s="9"/>
      <c r="CX191" s="9"/>
      <c r="CY191" s="9"/>
      <c r="CZ191" s="9"/>
      <c r="DA191" s="9"/>
      <c r="DB191" s="9"/>
      <c r="DC191" s="9"/>
      <c r="DD191" s="9"/>
      <c r="DE191" s="9"/>
      <c r="DF191" s="9"/>
      <c r="DG191" s="9"/>
      <c r="DH191" s="9"/>
      <c r="DI191" s="9"/>
      <c r="DJ191" s="9"/>
      <c r="DK191" s="9"/>
      <c r="DL191" s="9"/>
      <c r="DM191" s="9"/>
      <c r="DN191" s="9"/>
      <c r="DO191" s="9"/>
      <c r="DP191" s="9"/>
      <c r="DQ191" s="9"/>
      <c r="DR191" s="9"/>
      <c r="DS191" s="9"/>
      <c r="DT191" s="9"/>
      <c r="DU191" s="9"/>
      <c r="DV191" s="9"/>
      <c r="DW191" s="9"/>
      <c r="DX191" s="9"/>
      <c r="DY191" s="9"/>
      <c r="DZ191" s="9"/>
      <c r="EA191" s="9"/>
      <c r="EB191" s="9"/>
      <c r="EC191" s="9"/>
      <c r="ED191" s="9"/>
      <c r="EE191" s="9"/>
      <c r="EF191" s="9"/>
      <c r="EG191" s="9"/>
      <c r="EH191" s="9"/>
      <c r="EI191" s="9"/>
      <c r="EJ191" s="9"/>
      <c r="EK191" s="9"/>
      <c r="EL191" s="9"/>
      <c r="EM191" s="9"/>
      <c r="EN191" s="9"/>
      <c r="EO191" s="9"/>
      <c r="EP191" s="9"/>
      <c r="EQ191" s="9"/>
      <c r="ER191" s="9"/>
      <c r="ES191" s="9"/>
      <c r="ET191" s="9"/>
      <c r="EU191" s="9"/>
      <c r="EV191" s="9"/>
      <c r="EW191" s="9"/>
      <c r="EX191" s="9"/>
      <c r="EY191" s="9"/>
      <c r="EZ191" s="9"/>
      <c r="FA191" s="9"/>
      <c r="FB191" s="9"/>
      <c r="FC191" s="9"/>
      <c r="FD191" s="9"/>
      <c r="FE191" s="9"/>
      <c r="FF191" s="9"/>
      <c r="FG191" s="9"/>
      <c r="FH191" s="9"/>
      <c r="FI191" s="9"/>
    </row>
    <row r="192" spans="1:165" x14ac:dyDescent="0.2">
      <c r="A192" s="1" t="s">
        <v>1069</v>
      </c>
      <c r="B192" s="1" t="s">
        <v>1070</v>
      </c>
      <c r="C192" s="1" t="s">
        <v>294</v>
      </c>
      <c r="D192" s="1" t="str">
        <f>HYPERLINK("http://eros.fiehnlab.ucdavis.edu:8080/binbase-compound/bin/show/241054?db=rtx5","241054")</f>
        <v>241054</v>
      </c>
      <c r="E192" s="1" t="s">
        <v>1071</v>
      </c>
      <c r="F192" s="1" t="s">
        <v>184</v>
      </c>
      <c r="G192" s="1" t="s">
        <v>184</v>
      </c>
      <c r="H192" s="1"/>
      <c r="I192" s="8">
        <v>2280</v>
      </c>
      <c r="J192" s="8">
        <v>4266</v>
      </c>
      <c r="K192" s="8">
        <v>1327</v>
      </c>
      <c r="L192" s="8">
        <v>2643</v>
      </c>
      <c r="M192" s="8">
        <v>4590</v>
      </c>
      <c r="N192" s="8">
        <v>4253</v>
      </c>
      <c r="O192" s="8">
        <v>532</v>
      </c>
      <c r="P192" s="8">
        <v>517</v>
      </c>
      <c r="Q192" s="8">
        <v>732</v>
      </c>
      <c r="R192" s="8">
        <v>587</v>
      </c>
      <c r="S192" s="8">
        <v>446</v>
      </c>
      <c r="T192" s="8">
        <v>431</v>
      </c>
      <c r="U192" s="8">
        <v>544</v>
      </c>
      <c r="V192" s="8">
        <v>475</v>
      </c>
      <c r="W192" s="8">
        <v>614</v>
      </c>
      <c r="X192" s="8">
        <v>460</v>
      </c>
      <c r="Y192" s="8">
        <v>439</v>
      </c>
      <c r="Z192" s="8">
        <v>507</v>
      </c>
      <c r="AA192" s="8">
        <v>249</v>
      </c>
      <c r="AB192" s="8">
        <v>467</v>
      </c>
      <c r="AC192" s="8">
        <v>443</v>
      </c>
      <c r="AD192" s="8">
        <v>483</v>
      </c>
      <c r="AE192" s="8">
        <v>466</v>
      </c>
      <c r="AF192" s="8">
        <v>339</v>
      </c>
      <c r="AG192" s="8">
        <v>652</v>
      </c>
      <c r="AH192" s="8">
        <v>575</v>
      </c>
      <c r="AI192" s="8">
        <v>508</v>
      </c>
      <c r="AJ192" s="8">
        <v>767</v>
      </c>
      <c r="AK192" s="8">
        <v>590</v>
      </c>
      <c r="AL192" s="8">
        <v>594</v>
      </c>
      <c r="AM192" s="8">
        <v>383</v>
      </c>
      <c r="AN192" s="8">
        <v>253</v>
      </c>
      <c r="AO192" s="8">
        <v>304</v>
      </c>
      <c r="AP192" s="8">
        <v>498</v>
      </c>
      <c r="AQ192" s="8">
        <v>438</v>
      </c>
      <c r="AR192" s="8">
        <v>443</v>
      </c>
      <c r="AS192" s="8">
        <v>391</v>
      </c>
      <c r="AT192" s="8">
        <v>366</v>
      </c>
      <c r="AU192" s="8">
        <v>603</v>
      </c>
      <c r="AV192" s="8">
        <v>449</v>
      </c>
      <c r="AW192" s="8">
        <v>532</v>
      </c>
      <c r="AX192" s="8">
        <v>388</v>
      </c>
      <c r="AY192" s="8">
        <v>349</v>
      </c>
      <c r="AZ192" s="8">
        <v>335</v>
      </c>
      <c r="BA192" s="8">
        <v>469</v>
      </c>
      <c r="BB192" s="8">
        <v>313</v>
      </c>
      <c r="BC192" s="8">
        <v>146</v>
      </c>
      <c r="BD192" s="8">
        <v>344</v>
      </c>
      <c r="BE192" s="8">
        <v>729</v>
      </c>
      <c r="BF192" s="8">
        <v>710</v>
      </c>
      <c r="BG192" s="8">
        <v>553</v>
      </c>
      <c r="BH192" s="8">
        <v>711</v>
      </c>
      <c r="BI192" s="8">
        <v>713</v>
      </c>
      <c r="BJ192" s="8">
        <v>688</v>
      </c>
      <c r="BK192" s="8">
        <v>618</v>
      </c>
      <c r="BL192" s="8">
        <v>313</v>
      </c>
      <c r="BM192" s="8">
        <v>337</v>
      </c>
      <c r="BN192" s="8">
        <v>312</v>
      </c>
      <c r="BO192" s="8">
        <v>507</v>
      </c>
      <c r="BP192" s="8">
        <v>581</v>
      </c>
      <c r="BQ192" s="8">
        <v>448</v>
      </c>
      <c r="BR192" s="8">
        <v>602</v>
      </c>
      <c r="BS192" s="8">
        <v>717</v>
      </c>
      <c r="BT192" s="8">
        <v>462</v>
      </c>
      <c r="BU192" s="8">
        <v>366</v>
      </c>
      <c r="BV192" s="8">
        <v>556</v>
      </c>
      <c r="BW192" s="8">
        <v>528</v>
      </c>
      <c r="BX192" s="8">
        <v>292</v>
      </c>
      <c r="BY192" s="8">
        <v>369</v>
      </c>
      <c r="BZ192" s="8">
        <v>371</v>
      </c>
      <c r="CA192" s="8">
        <v>337</v>
      </c>
      <c r="CB192" s="8">
        <v>276</v>
      </c>
      <c r="CC192" s="8">
        <v>639</v>
      </c>
      <c r="CD192" s="8">
        <v>632</v>
      </c>
      <c r="CE192" s="8">
        <v>546</v>
      </c>
      <c r="CF192" s="8">
        <v>619</v>
      </c>
      <c r="CG192" s="8">
        <v>769</v>
      </c>
      <c r="CH192" s="8">
        <v>568</v>
      </c>
      <c r="CJ192" s="9"/>
      <c r="CK192" s="9"/>
      <c r="CL192" s="9"/>
      <c r="CM192" s="9"/>
      <c r="CN192" s="9"/>
      <c r="CO192" s="9"/>
      <c r="CP192" s="9"/>
      <c r="CQ192" s="9"/>
      <c r="CR192" s="9"/>
      <c r="CS192" s="9"/>
      <c r="CT192" s="9"/>
      <c r="CU192" s="9"/>
      <c r="CV192" s="9"/>
      <c r="CW192" s="9"/>
      <c r="CX192" s="9"/>
      <c r="CY192" s="9"/>
      <c r="CZ192" s="9"/>
      <c r="DA192" s="9"/>
      <c r="DB192" s="9"/>
      <c r="DC192" s="9"/>
      <c r="DD192" s="9"/>
      <c r="DE192" s="9"/>
      <c r="DF192" s="9"/>
      <c r="DG192" s="9"/>
      <c r="DH192" s="9"/>
      <c r="DI192" s="9"/>
      <c r="DJ192" s="9"/>
      <c r="DK192" s="9"/>
      <c r="DL192" s="9"/>
      <c r="DM192" s="9"/>
      <c r="DN192" s="9"/>
      <c r="DO192" s="9"/>
      <c r="DP192" s="9"/>
      <c r="DQ192" s="9"/>
      <c r="DR192" s="9"/>
      <c r="DS192" s="9"/>
      <c r="DT192" s="9"/>
      <c r="DU192" s="9"/>
      <c r="DV192" s="9"/>
      <c r="DW192" s="9"/>
      <c r="DX192" s="9"/>
      <c r="DY192" s="9"/>
      <c r="DZ192" s="9"/>
      <c r="EA192" s="9"/>
      <c r="EB192" s="9"/>
      <c r="EC192" s="9"/>
      <c r="ED192" s="9"/>
      <c r="EE192" s="9"/>
      <c r="EF192" s="9"/>
      <c r="EG192" s="9"/>
      <c r="EH192" s="9"/>
      <c r="EI192" s="9"/>
      <c r="EJ192" s="9"/>
      <c r="EK192" s="9"/>
      <c r="EL192" s="9"/>
      <c r="EM192" s="9"/>
      <c r="EN192" s="9"/>
      <c r="EO192" s="9"/>
      <c r="EP192" s="9"/>
      <c r="EQ192" s="9"/>
      <c r="ER192" s="9"/>
      <c r="ES192" s="9"/>
      <c r="ET192" s="9"/>
      <c r="EU192" s="9"/>
      <c r="EV192" s="9"/>
      <c r="EW192" s="9"/>
      <c r="EX192" s="9"/>
      <c r="EY192" s="9"/>
      <c r="EZ192" s="9"/>
      <c r="FA192" s="9"/>
      <c r="FB192" s="9"/>
      <c r="FC192" s="9"/>
      <c r="FD192" s="9"/>
      <c r="FE192" s="9"/>
      <c r="FF192" s="9"/>
      <c r="FG192" s="9"/>
      <c r="FH192" s="9"/>
      <c r="FI192" s="9"/>
    </row>
    <row r="193" spans="1:165" x14ac:dyDescent="0.2">
      <c r="A193" s="1" t="s">
        <v>703</v>
      </c>
      <c r="B193" s="1" t="s">
        <v>704</v>
      </c>
      <c r="C193" s="1" t="s">
        <v>341</v>
      </c>
      <c r="D193" s="1" t="str">
        <f>HYPERLINK("http://eros.fiehnlab.ucdavis.edu:8080/binbase-compound/bin/show/372854?db=rtx5","372854")</f>
        <v>372854</v>
      </c>
      <c r="E193" s="1" t="s">
        <v>705</v>
      </c>
      <c r="F193" s="1" t="s">
        <v>184</v>
      </c>
      <c r="G193" s="1" t="s">
        <v>184</v>
      </c>
      <c r="H193" s="1"/>
      <c r="I193" s="8">
        <v>2648</v>
      </c>
      <c r="J193" s="8">
        <v>1927</v>
      </c>
      <c r="K193" s="8">
        <v>1141</v>
      </c>
      <c r="L193" s="8">
        <v>722</v>
      </c>
      <c r="M193" s="8">
        <v>1740</v>
      </c>
      <c r="N193" s="8">
        <v>1364</v>
      </c>
      <c r="O193" s="8">
        <v>1988</v>
      </c>
      <c r="P193" s="8">
        <v>2234</v>
      </c>
      <c r="Q193" s="8">
        <v>3177</v>
      </c>
      <c r="R193" s="8">
        <v>2352</v>
      </c>
      <c r="S193" s="8">
        <v>2486</v>
      </c>
      <c r="T193" s="8">
        <v>1507</v>
      </c>
      <c r="U193" s="8">
        <v>5090</v>
      </c>
      <c r="V193" s="8">
        <v>4353</v>
      </c>
      <c r="W193" s="8">
        <v>4634</v>
      </c>
      <c r="X193" s="8">
        <v>3846</v>
      </c>
      <c r="Y193" s="8">
        <v>2300</v>
      </c>
      <c r="Z193" s="8">
        <v>1877</v>
      </c>
      <c r="AA193" s="8">
        <v>1228</v>
      </c>
      <c r="AB193" s="8">
        <v>675</v>
      </c>
      <c r="AC193" s="8">
        <v>717</v>
      </c>
      <c r="AD193" s="8">
        <v>688</v>
      </c>
      <c r="AE193" s="8">
        <v>1376</v>
      </c>
      <c r="AF193" s="8">
        <v>813</v>
      </c>
      <c r="AG193" s="8">
        <v>4812</v>
      </c>
      <c r="AH193" s="8">
        <v>3200</v>
      </c>
      <c r="AI193" s="8">
        <v>1898</v>
      </c>
      <c r="AJ193" s="8">
        <v>5870</v>
      </c>
      <c r="AK193" s="8">
        <v>2443</v>
      </c>
      <c r="AL193" s="8">
        <v>1609</v>
      </c>
      <c r="AM193" s="8">
        <v>5199</v>
      </c>
      <c r="AN193" s="8">
        <v>3953</v>
      </c>
      <c r="AO193" s="8">
        <v>1605</v>
      </c>
      <c r="AP193" s="8">
        <v>4253</v>
      </c>
      <c r="AQ193" s="8">
        <v>2278</v>
      </c>
      <c r="AR193" s="8">
        <v>1986</v>
      </c>
      <c r="AS193" s="8">
        <v>6520</v>
      </c>
      <c r="AT193" s="8">
        <v>5699</v>
      </c>
      <c r="AU193" s="8">
        <v>3012</v>
      </c>
      <c r="AV193" s="8">
        <v>3854</v>
      </c>
      <c r="AW193" s="8">
        <v>6280</v>
      </c>
      <c r="AX193" s="8">
        <v>3907</v>
      </c>
      <c r="AY193" s="8">
        <v>755</v>
      </c>
      <c r="AZ193" s="8">
        <v>1777</v>
      </c>
      <c r="BA193" s="8">
        <v>787</v>
      </c>
      <c r="BB193" s="8">
        <v>1019</v>
      </c>
      <c r="BC193" s="8">
        <v>905</v>
      </c>
      <c r="BD193" s="8">
        <v>916</v>
      </c>
      <c r="BE193" s="8">
        <v>5767</v>
      </c>
      <c r="BF193" s="8">
        <v>3867</v>
      </c>
      <c r="BG193" s="8">
        <v>2941</v>
      </c>
      <c r="BH193" s="8">
        <v>2833</v>
      </c>
      <c r="BI193" s="8">
        <v>3554</v>
      </c>
      <c r="BJ193" s="8">
        <v>2920</v>
      </c>
      <c r="BK193" s="8">
        <v>2708</v>
      </c>
      <c r="BL193" s="8">
        <v>1150</v>
      </c>
      <c r="BM193" s="8">
        <v>2033</v>
      </c>
      <c r="BN193" s="8">
        <v>3069</v>
      </c>
      <c r="BO193" s="8">
        <v>3025</v>
      </c>
      <c r="BP193" s="8">
        <v>2315</v>
      </c>
      <c r="BQ193" s="8">
        <v>4946</v>
      </c>
      <c r="BR193" s="8">
        <v>4673</v>
      </c>
      <c r="BS193" s="8">
        <v>5054</v>
      </c>
      <c r="BT193" s="8">
        <v>2389</v>
      </c>
      <c r="BU193" s="8">
        <v>2373</v>
      </c>
      <c r="BV193" s="8">
        <v>1599</v>
      </c>
      <c r="BW193" s="8">
        <v>1319</v>
      </c>
      <c r="BX193" s="8">
        <v>627</v>
      </c>
      <c r="BY193" s="8">
        <v>504</v>
      </c>
      <c r="BZ193" s="8">
        <v>1354</v>
      </c>
      <c r="CA193" s="8">
        <v>732</v>
      </c>
      <c r="CB193" s="8">
        <v>607</v>
      </c>
      <c r="CC193" s="8">
        <v>3169</v>
      </c>
      <c r="CD193" s="8">
        <v>3103</v>
      </c>
      <c r="CE193" s="8">
        <v>2659</v>
      </c>
      <c r="CF193" s="8">
        <v>1441</v>
      </c>
      <c r="CG193" s="8">
        <v>3397</v>
      </c>
      <c r="CH193" s="8">
        <v>2261</v>
      </c>
      <c r="CJ193" s="9"/>
      <c r="CK193" s="9"/>
      <c r="CL193" s="9"/>
      <c r="CM193" s="9"/>
      <c r="CN193" s="9"/>
      <c r="CO193" s="9"/>
      <c r="CP193" s="9"/>
      <c r="CQ193" s="9"/>
      <c r="CR193" s="9"/>
      <c r="CS193" s="9"/>
      <c r="CT193" s="9"/>
      <c r="CU193" s="9"/>
      <c r="CV193" s="9"/>
      <c r="CW193" s="9"/>
      <c r="CX193" s="9"/>
      <c r="CY193" s="9"/>
      <c r="CZ193" s="9"/>
      <c r="DA193" s="9"/>
      <c r="DB193" s="9"/>
      <c r="DC193" s="9"/>
      <c r="DD193" s="9"/>
      <c r="DE193" s="9"/>
      <c r="DF193" s="9"/>
      <c r="DG193" s="9"/>
      <c r="DH193" s="9"/>
      <c r="DI193" s="9"/>
      <c r="DJ193" s="9"/>
      <c r="DK193" s="9"/>
      <c r="DL193" s="9"/>
      <c r="DM193" s="9"/>
      <c r="DN193" s="9"/>
      <c r="DO193" s="9"/>
      <c r="DP193" s="9"/>
      <c r="DQ193" s="9"/>
      <c r="DR193" s="9"/>
      <c r="DS193" s="9"/>
      <c r="DT193" s="9"/>
      <c r="DU193" s="9"/>
      <c r="DV193" s="9"/>
      <c r="DW193" s="9"/>
      <c r="DX193" s="9"/>
      <c r="DY193" s="9"/>
      <c r="DZ193" s="9"/>
      <c r="EA193" s="9"/>
      <c r="EB193" s="9"/>
      <c r="EC193" s="9"/>
      <c r="ED193" s="9"/>
      <c r="EE193" s="9"/>
      <c r="EF193" s="9"/>
      <c r="EG193" s="9"/>
      <c r="EH193" s="9"/>
      <c r="EI193" s="9"/>
      <c r="EJ193" s="9"/>
      <c r="EK193" s="9"/>
      <c r="EL193" s="9"/>
      <c r="EM193" s="9"/>
      <c r="EN193" s="9"/>
      <c r="EO193" s="9"/>
      <c r="EP193" s="9"/>
      <c r="EQ193" s="9"/>
      <c r="ER193" s="9"/>
      <c r="ES193" s="9"/>
      <c r="ET193" s="9"/>
      <c r="EU193" s="9"/>
      <c r="EV193" s="9"/>
      <c r="EW193" s="9"/>
      <c r="EX193" s="9"/>
      <c r="EY193" s="9"/>
      <c r="EZ193" s="9"/>
      <c r="FA193" s="9"/>
      <c r="FB193" s="9"/>
      <c r="FC193" s="9"/>
      <c r="FD193" s="9"/>
      <c r="FE193" s="9"/>
      <c r="FF193" s="9"/>
      <c r="FG193" s="9"/>
      <c r="FH193" s="9"/>
      <c r="FI193" s="9"/>
    </row>
    <row r="194" spans="1:165" x14ac:dyDescent="0.2">
      <c r="A194" s="1" t="s">
        <v>1314</v>
      </c>
      <c r="B194" s="1" t="s">
        <v>1315</v>
      </c>
      <c r="C194" s="1" t="s">
        <v>848</v>
      </c>
      <c r="D194" s="1" t="str">
        <f>HYPERLINK("http://eros.fiehnlab.ucdavis.edu:8080/binbase-compound/bin/show/208481?db=rtx5","208481")</f>
        <v>208481</v>
      </c>
      <c r="E194" s="1" t="s">
        <v>1316</v>
      </c>
      <c r="F194" s="1" t="s">
        <v>184</v>
      </c>
      <c r="G194" s="1" t="s">
        <v>184</v>
      </c>
      <c r="H194" s="1"/>
      <c r="I194" s="8">
        <v>1680</v>
      </c>
      <c r="J194" s="8">
        <v>1226</v>
      </c>
      <c r="K194" s="8">
        <v>916</v>
      </c>
      <c r="L194" s="8">
        <v>1129</v>
      </c>
      <c r="M194" s="8">
        <v>1231</v>
      </c>
      <c r="N194" s="8">
        <v>1790</v>
      </c>
      <c r="O194" s="8">
        <v>1044</v>
      </c>
      <c r="P194" s="8">
        <v>776</v>
      </c>
      <c r="Q194" s="8">
        <v>1202</v>
      </c>
      <c r="R194" s="8">
        <v>1271</v>
      </c>
      <c r="S194" s="8">
        <v>1434</v>
      </c>
      <c r="T194" s="8">
        <v>980</v>
      </c>
      <c r="U194" s="8">
        <v>1104</v>
      </c>
      <c r="V194" s="8">
        <v>1148</v>
      </c>
      <c r="W194" s="8">
        <v>1086</v>
      </c>
      <c r="X194" s="8">
        <v>1808</v>
      </c>
      <c r="Y194" s="8">
        <v>1060</v>
      </c>
      <c r="Z194" s="8">
        <v>1028</v>
      </c>
      <c r="AA194" s="8">
        <v>786</v>
      </c>
      <c r="AB194" s="8">
        <v>1427</v>
      </c>
      <c r="AC194" s="8">
        <v>738</v>
      </c>
      <c r="AD194" s="8">
        <v>658</v>
      </c>
      <c r="AE194" s="8">
        <v>1631</v>
      </c>
      <c r="AF194" s="8">
        <v>848</v>
      </c>
      <c r="AG194" s="8">
        <v>1021</v>
      </c>
      <c r="AH194" s="8">
        <v>1080</v>
      </c>
      <c r="AI194" s="8">
        <v>1033</v>
      </c>
      <c r="AJ194" s="8">
        <v>1592</v>
      </c>
      <c r="AK194" s="8">
        <v>1203</v>
      </c>
      <c r="AL194" s="8">
        <v>1236</v>
      </c>
      <c r="AM194" s="8">
        <v>1567</v>
      </c>
      <c r="AN194" s="8">
        <v>1412</v>
      </c>
      <c r="AO194" s="8">
        <v>1407</v>
      </c>
      <c r="AP194" s="8">
        <v>2322</v>
      </c>
      <c r="AQ194" s="8">
        <v>1382</v>
      </c>
      <c r="AR194" s="8">
        <v>1718</v>
      </c>
      <c r="AS194" s="8">
        <v>1092</v>
      </c>
      <c r="AT194" s="8">
        <v>908</v>
      </c>
      <c r="AU194" s="8">
        <v>1081</v>
      </c>
      <c r="AV194" s="8">
        <v>1105</v>
      </c>
      <c r="AW194" s="8">
        <v>1841</v>
      </c>
      <c r="AX194" s="8">
        <v>876</v>
      </c>
      <c r="AY194" s="8">
        <v>1393</v>
      </c>
      <c r="AZ194" s="8">
        <v>1124</v>
      </c>
      <c r="BA194" s="8">
        <v>1012</v>
      </c>
      <c r="BB194" s="8">
        <v>1777</v>
      </c>
      <c r="BC194" s="8">
        <v>1771</v>
      </c>
      <c r="BD194" s="8">
        <v>1709</v>
      </c>
      <c r="BE194" s="8">
        <v>513</v>
      </c>
      <c r="BF194" s="8">
        <v>1221</v>
      </c>
      <c r="BG194" s="8">
        <v>1265</v>
      </c>
      <c r="BH194" s="8">
        <v>879</v>
      </c>
      <c r="BI194" s="8">
        <v>1469</v>
      </c>
      <c r="BJ194" s="8">
        <v>1234</v>
      </c>
      <c r="BK194" s="8">
        <v>1577</v>
      </c>
      <c r="BL194" s="8">
        <v>1401</v>
      </c>
      <c r="BM194" s="8">
        <v>1805</v>
      </c>
      <c r="BN194" s="8">
        <v>1320</v>
      </c>
      <c r="BO194" s="8">
        <v>1240</v>
      </c>
      <c r="BP194" s="8">
        <v>1465</v>
      </c>
      <c r="BQ194" s="8">
        <v>1231</v>
      </c>
      <c r="BR194" s="8">
        <v>621</v>
      </c>
      <c r="BS194" s="8">
        <v>1065</v>
      </c>
      <c r="BT194" s="8">
        <v>1139</v>
      </c>
      <c r="BU194" s="8">
        <v>1203</v>
      </c>
      <c r="BV194" s="8">
        <v>1412</v>
      </c>
      <c r="BW194" s="8">
        <v>1322</v>
      </c>
      <c r="BX194" s="8">
        <v>723</v>
      </c>
      <c r="BY194" s="8">
        <v>1085</v>
      </c>
      <c r="BZ194" s="8">
        <v>1478</v>
      </c>
      <c r="CA194" s="8">
        <v>1537</v>
      </c>
      <c r="CB194" s="8">
        <v>1041</v>
      </c>
      <c r="CC194" s="8">
        <v>635</v>
      </c>
      <c r="CD194" s="8">
        <v>896</v>
      </c>
      <c r="CE194" s="8">
        <v>1224</v>
      </c>
      <c r="CF194" s="8">
        <v>894</v>
      </c>
      <c r="CG194" s="8">
        <v>813</v>
      </c>
      <c r="CH194" s="8">
        <v>1145</v>
      </c>
      <c r="CJ194" s="9"/>
      <c r="CK194" s="9"/>
      <c r="CL194" s="9"/>
      <c r="CM194" s="9"/>
      <c r="CN194" s="9"/>
      <c r="CO194" s="9"/>
      <c r="CP194" s="9"/>
      <c r="CQ194" s="9"/>
      <c r="CR194" s="9"/>
      <c r="CS194" s="9"/>
      <c r="CT194" s="9"/>
      <c r="CU194" s="9"/>
      <c r="CV194" s="9"/>
      <c r="CW194" s="9"/>
      <c r="CX194" s="9"/>
      <c r="CY194" s="9"/>
      <c r="CZ194" s="9"/>
      <c r="DA194" s="9"/>
      <c r="DB194" s="9"/>
      <c r="DC194" s="9"/>
      <c r="DD194" s="9"/>
      <c r="DE194" s="9"/>
      <c r="DF194" s="9"/>
      <c r="DG194" s="9"/>
      <c r="DH194" s="9"/>
      <c r="DI194" s="9"/>
      <c r="DJ194" s="9"/>
      <c r="DK194" s="9"/>
      <c r="DL194" s="9"/>
      <c r="DM194" s="9"/>
      <c r="DN194" s="9"/>
      <c r="DO194" s="9"/>
      <c r="DP194" s="9"/>
      <c r="DQ194" s="9"/>
      <c r="DR194" s="9"/>
      <c r="DS194" s="9"/>
      <c r="DT194" s="9"/>
      <c r="DU194" s="9"/>
      <c r="DV194" s="9"/>
      <c r="DW194" s="9"/>
      <c r="DX194" s="9"/>
      <c r="DY194" s="9"/>
      <c r="DZ194" s="9"/>
      <c r="EA194" s="9"/>
      <c r="EB194" s="9"/>
      <c r="EC194" s="9"/>
      <c r="ED194" s="9"/>
      <c r="EE194" s="9"/>
      <c r="EF194" s="9"/>
      <c r="EG194" s="9"/>
      <c r="EH194" s="9"/>
      <c r="EI194" s="9"/>
      <c r="EJ194" s="9"/>
      <c r="EK194" s="9"/>
      <c r="EL194" s="9"/>
      <c r="EM194" s="9"/>
      <c r="EN194" s="9"/>
      <c r="EO194" s="9"/>
      <c r="EP194" s="9"/>
      <c r="EQ194" s="9"/>
      <c r="ER194" s="9"/>
      <c r="ES194" s="9"/>
      <c r="ET194" s="9"/>
      <c r="EU194" s="9"/>
      <c r="EV194" s="9"/>
      <c r="EW194" s="9"/>
      <c r="EX194" s="9"/>
      <c r="EY194" s="9"/>
      <c r="EZ194" s="9"/>
      <c r="FA194" s="9"/>
      <c r="FB194" s="9"/>
      <c r="FC194" s="9"/>
      <c r="FD194" s="9"/>
      <c r="FE194" s="9"/>
      <c r="FF194" s="9"/>
      <c r="FG194" s="9"/>
      <c r="FH194" s="9"/>
      <c r="FI194" s="9"/>
    </row>
    <row r="195" spans="1:165" x14ac:dyDescent="0.2">
      <c r="A195" s="1" t="s">
        <v>872</v>
      </c>
      <c r="B195" s="1" t="s">
        <v>873</v>
      </c>
      <c r="C195" s="1" t="s">
        <v>267</v>
      </c>
      <c r="D195" s="1" t="str">
        <f>HYPERLINK("http://eros.fiehnlab.ucdavis.edu:8080/binbase-compound/bin/show/309642?db=rtx5","309642")</f>
        <v>309642</v>
      </c>
      <c r="E195" s="1" t="s">
        <v>874</v>
      </c>
      <c r="F195" s="1" t="s">
        <v>184</v>
      </c>
      <c r="G195" s="1" t="s">
        <v>184</v>
      </c>
      <c r="H195" s="1"/>
      <c r="I195" s="8">
        <v>627</v>
      </c>
      <c r="J195" s="8">
        <v>558</v>
      </c>
      <c r="K195" s="8">
        <v>407</v>
      </c>
      <c r="L195" s="8">
        <v>412</v>
      </c>
      <c r="M195" s="8">
        <v>292</v>
      </c>
      <c r="N195" s="8">
        <v>289</v>
      </c>
      <c r="O195" s="8">
        <v>751</v>
      </c>
      <c r="P195" s="8">
        <v>183</v>
      </c>
      <c r="Q195" s="8">
        <v>613</v>
      </c>
      <c r="R195" s="8">
        <v>627</v>
      </c>
      <c r="S195" s="8">
        <v>744</v>
      </c>
      <c r="T195" s="8">
        <v>628</v>
      </c>
      <c r="U195" s="8">
        <v>1149</v>
      </c>
      <c r="V195" s="8">
        <v>921</v>
      </c>
      <c r="W195" s="8">
        <v>527</v>
      </c>
      <c r="X195" s="8">
        <v>573</v>
      </c>
      <c r="Y195" s="8">
        <v>828</v>
      </c>
      <c r="Z195" s="8">
        <v>448</v>
      </c>
      <c r="AA195" s="8">
        <v>199</v>
      </c>
      <c r="AB195" s="8">
        <v>556</v>
      </c>
      <c r="AC195" s="8">
        <v>617</v>
      </c>
      <c r="AD195" s="8">
        <v>692</v>
      </c>
      <c r="AE195" s="8">
        <v>592</v>
      </c>
      <c r="AF195" s="8">
        <v>554</v>
      </c>
      <c r="AG195" s="8">
        <v>1398</v>
      </c>
      <c r="AH195" s="8">
        <v>1048</v>
      </c>
      <c r="AI195" s="8">
        <v>533</v>
      </c>
      <c r="AJ195" s="8">
        <v>452</v>
      </c>
      <c r="AK195" s="8">
        <v>525</v>
      </c>
      <c r="AL195" s="8">
        <v>825</v>
      </c>
      <c r="AM195" s="8">
        <v>1365</v>
      </c>
      <c r="AN195" s="8">
        <v>463</v>
      </c>
      <c r="AO195" s="8">
        <v>447</v>
      </c>
      <c r="AP195" s="8">
        <v>627</v>
      </c>
      <c r="AQ195" s="8">
        <v>520</v>
      </c>
      <c r="AR195" s="8">
        <v>570</v>
      </c>
      <c r="AS195" s="8">
        <v>706</v>
      </c>
      <c r="AT195" s="8">
        <v>1404</v>
      </c>
      <c r="AU195" s="8">
        <v>588</v>
      </c>
      <c r="AV195" s="8">
        <v>608</v>
      </c>
      <c r="AW195" s="8">
        <v>479</v>
      </c>
      <c r="AX195" s="8">
        <v>701</v>
      </c>
      <c r="AY195" s="8">
        <v>1198</v>
      </c>
      <c r="AZ195" s="8">
        <v>665</v>
      </c>
      <c r="BA195" s="8">
        <v>645</v>
      </c>
      <c r="BB195" s="8">
        <v>767</v>
      </c>
      <c r="BC195" s="8">
        <v>846</v>
      </c>
      <c r="BD195" s="8">
        <v>807</v>
      </c>
      <c r="BE195" s="8">
        <v>528</v>
      </c>
      <c r="BF195" s="8">
        <v>504</v>
      </c>
      <c r="BG195" s="8">
        <v>687</v>
      </c>
      <c r="BH195" s="8">
        <v>522</v>
      </c>
      <c r="BI195" s="8">
        <v>831</v>
      </c>
      <c r="BJ195" s="8">
        <v>421</v>
      </c>
      <c r="BK195" s="8">
        <v>1529</v>
      </c>
      <c r="BL195" s="8">
        <v>729</v>
      </c>
      <c r="BM195" s="8">
        <v>707</v>
      </c>
      <c r="BN195" s="8">
        <v>593</v>
      </c>
      <c r="BO195" s="8">
        <v>732</v>
      </c>
      <c r="BP195" s="8">
        <v>615</v>
      </c>
      <c r="BQ195" s="8">
        <v>707</v>
      </c>
      <c r="BR195" s="8">
        <v>841</v>
      </c>
      <c r="BS195" s="8">
        <v>673</v>
      </c>
      <c r="BT195" s="8">
        <v>390</v>
      </c>
      <c r="BU195" s="8">
        <v>707</v>
      </c>
      <c r="BV195" s="8">
        <v>417</v>
      </c>
      <c r="BW195" s="8">
        <v>452</v>
      </c>
      <c r="BX195" s="8">
        <v>761</v>
      </c>
      <c r="BY195" s="8">
        <v>609</v>
      </c>
      <c r="BZ195" s="8">
        <v>727</v>
      </c>
      <c r="CA195" s="8">
        <v>503</v>
      </c>
      <c r="CB195" s="8">
        <v>589</v>
      </c>
      <c r="CC195" s="8">
        <v>529</v>
      </c>
      <c r="CD195" s="8">
        <v>947</v>
      </c>
      <c r="CE195" s="8">
        <v>718</v>
      </c>
      <c r="CF195" s="8">
        <v>561</v>
      </c>
      <c r="CG195" s="8">
        <v>513</v>
      </c>
      <c r="CH195" s="8">
        <v>359</v>
      </c>
      <c r="CJ195" s="9"/>
      <c r="CK195" s="9"/>
      <c r="CL195" s="9"/>
      <c r="CM195" s="9"/>
      <c r="CN195" s="9"/>
      <c r="CO195" s="9"/>
      <c r="CP195" s="9"/>
      <c r="CQ195" s="9"/>
      <c r="CR195" s="9"/>
      <c r="CS195" s="9"/>
      <c r="CT195" s="9"/>
      <c r="CU195" s="9"/>
      <c r="CV195" s="9"/>
      <c r="CW195" s="9"/>
      <c r="CX195" s="9"/>
      <c r="CY195" s="9"/>
      <c r="CZ195" s="9"/>
      <c r="DA195" s="9"/>
      <c r="DB195" s="9"/>
      <c r="DC195" s="9"/>
      <c r="DD195" s="9"/>
      <c r="DE195" s="9"/>
      <c r="DF195" s="9"/>
      <c r="DG195" s="9"/>
      <c r="DH195" s="9"/>
      <c r="DI195" s="9"/>
      <c r="DJ195" s="9"/>
      <c r="DK195" s="9"/>
      <c r="DL195" s="9"/>
      <c r="DM195" s="9"/>
      <c r="DN195" s="9"/>
      <c r="DO195" s="9"/>
      <c r="DP195" s="9"/>
      <c r="DQ195" s="9"/>
      <c r="DR195" s="9"/>
      <c r="DS195" s="9"/>
      <c r="DT195" s="9"/>
      <c r="DU195" s="9"/>
      <c r="DV195" s="9"/>
      <c r="DW195" s="9"/>
      <c r="DX195" s="9"/>
      <c r="DY195" s="9"/>
      <c r="DZ195" s="9"/>
      <c r="EA195" s="9"/>
      <c r="EB195" s="9"/>
      <c r="EC195" s="9"/>
      <c r="ED195" s="9"/>
      <c r="EE195" s="9"/>
      <c r="EF195" s="9"/>
      <c r="EG195" s="9"/>
      <c r="EH195" s="9"/>
      <c r="EI195" s="9"/>
      <c r="EJ195" s="9"/>
      <c r="EK195" s="9"/>
      <c r="EL195" s="9"/>
      <c r="EM195" s="9"/>
      <c r="EN195" s="9"/>
      <c r="EO195" s="9"/>
      <c r="EP195" s="9"/>
      <c r="EQ195" s="9"/>
      <c r="ER195" s="9"/>
      <c r="ES195" s="9"/>
      <c r="ET195" s="9"/>
      <c r="EU195" s="9"/>
      <c r="EV195" s="9"/>
      <c r="EW195" s="9"/>
      <c r="EX195" s="9"/>
      <c r="EY195" s="9"/>
      <c r="EZ195" s="9"/>
      <c r="FA195" s="9"/>
      <c r="FB195" s="9"/>
      <c r="FC195" s="9"/>
      <c r="FD195" s="9"/>
      <c r="FE195" s="9"/>
      <c r="FF195" s="9"/>
      <c r="FG195" s="9"/>
      <c r="FH195" s="9"/>
      <c r="FI195" s="9"/>
    </row>
    <row r="196" spans="1:165" x14ac:dyDescent="0.2">
      <c r="A196" s="1" t="s">
        <v>820</v>
      </c>
      <c r="B196" s="1" t="s">
        <v>821</v>
      </c>
      <c r="C196" s="1" t="s">
        <v>822</v>
      </c>
      <c r="D196" s="1" t="str">
        <f>HYPERLINK("http://eros.fiehnlab.ucdavis.edu:8080/binbase-compound/bin/show/354038?db=rtx5","354038")</f>
        <v>354038</v>
      </c>
      <c r="E196" s="1" t="s">
        <v>823</v>
      </c>
      <c r="F196" s="1" t="s">
        <v>184</v>
      </c>
      <c r="G196" s="1" t="s">
        <v>184</v>
      </c>
      <c r="H196" s="1"/>
      <c r="I196" s="8">
        <v>692</v>
      </c>
      <c r="J196" s="8">
        <v>626</v>
      </c>
      <c r="K196" s="8">
        <v>421</v>
      </c>
      <c r="L196" s="8">
        <v>476</v>
      </c>
      <c r="M196" s="8">
        <v>722</v>
      </c>
      <c r="N196" s="8">
        <v>497</v>
      </c>
      <c r="O196" s="8">
        <v>509</v>
      </c>
      <c r="P196" s="8">
        <v>732</v>
      </c>
      <c r="Q196" s="8">
        <v>596</v>
      </c>
      <c r="R196" s="8">
        <v>622</v>
      </c>
      <c r="S196" s="8">
        <v>714</v>
      </c>
      <c r="T196" s="8">
        <v>377</v>
      </c>
      <c r="U196" s="8">
        <v>600</v>
      </c>
      <c r="V196" s="8">
        <v>531</v>
      </c>
      <c r="W196" s="8">
        <v>305</v>
      </c>
      <c r="X196" s="8">
        <v>676</v>
      </c>
      <c r="Y196" s="8">
        <v>441</v>
      </c>
      <c r="Z196" s="8">
        <v>478</v>
      </c>
      <c r="AA196" s="8">
        <v>188</v>
      </c>
      <c r="AB196" s="8">
        <v>551</v>
      </c>
      <c r="AC196" s="8">
        <v>543</v>
      </c>
      <c r="AD196" s="8">
        <v>415</v>
      </c>
      <c r="AE196" s="8">
        <v>472</v>
      </c>
      <c r="AF196" s="8">
        <v>171</v>
      </c>
      <c r="AG196" s="8">
        <v>414</v>
      </c>
      <c r="AH196" s="8">
        <v>618</v>
      </c>
      <c r="AI196" s="8">
        <v>405</v>
      </c>
      <c r="AJ196" s="8">
        <v>768</v>
      </c>
      <c r="AK196" s="8">
        <v>426</v>
      </c>
      <c r="AL196" s="8">
        <v>287</v>
      </c>
      <c r="AM196" s="8">
        <v>652</v>
      </c>
      <c r="AN196" s="8">
        <v>686</v>
      </c>
      <c r="AO196" s="8">
        <v>503</v>
      </c>
      <c r="AP196" s="8">
        <v>822</v>
      </c>
      <c r="AQ196" s="8">
        <v>290</v>
      </c>
      <c r="AR196" s="8">
        <v>405</v>
      </c>
      <c r="AS196" s="8">
        <v>422</v>
      </c>
      <c r="AT196" s="8">
        <v>492</v>
      </c>
      <c r="AU196" s="8">
        <v>502</v>
      </c>
      <c r="AV196" s="8">
        <v>575</v>
      </c>
      <c r="AW196" s="8">
        <v>391</v>
      </c>
      <c r="AX196" s="8">
        <v>214</v>
      </c>
      <c r="AY196" s="8">
        <v>369</v>
      </c>
      <c r="AZ196" s="8">
        <v>635</v>
      </c>
      <c r="BA196" s="8">
        <v>499</v>
      </c>
      <c r="BB196" s="8">
        <v>193</v>
      </c>
      <c r="BC196" s="8">
        <v>237</v>
      </c>
      <c r="BD196" s="8">
        <v>582</v>
      </c>
      <c r="BE196" s="8">
        <v>645</v>
      </c>
      <c r="BF196" s="8">
        <v>561</v>
      </c>
      <c r="BG196" s="8">
        <v>410</v>
      </c>
      <c r="BH196" s="8">
        <v>314</v>
      </c>
      <c r="BI196" s="8">
        <v>204</v>
      </c>
      <c r="BJ196" s="8">
        <v>544</v>
      </c>
      <c r="BK196" s="8">
        <v>674</v>
      </c>
      <c r="BL196" s="8">
        <v>713</v>
      </c>
      <c r="BM196" s="8">
        <v>768</v>
      </c>
      <c r="BN196" s="8">
        <v>305</v>
      </c>
      <c r="BO196" s="8">
        <v>660</v>
      </c>
      <c r="BP196" s="8">
        <v>514</v>
      </c>
      <c r="BQ196" s="8">
        <v>619</v>
      </c>
      <c r="BR196" s="8">
        <v>513</v>
      </c>
      <c r="BS196" s="8">
        <v>618</v>
      </c>
      <c r="BT196" s="8">
        <v>634</v>
      </c>
      <c r="BU196" s="8">
        <v>428</v>
      </c>
      <c r="BV196" s="8">
        <v>212</v>
      </c>
      <c r="BW196" s="8">
        <v>602</v>
      </c>
      <c r="BX196" s="8">
        <v>291</v>
      </c>
      <c r="BY196" s="8">
        <v>535</v>
      </c>
      <c r="BZ196" s="8">
        <v>593</v>
      </c>
      <c r="CA196" s="8">
        <v>264</v>
      </c>
      <c r="CB196" s="8">
        <v>302</v>
      </c>
      <c r="CC196" s="8">
        <v>354</v>
      </c>
      <c r="CD196" s="8">
        <v>515</v>
      </c>
      <c r="CE196" s="8">
        <v>609</v>
      </c>
      <c r="CF196" s="8">
        <v>511</v>
      </c>
      <c r="CG196" s="8">
        <v>379</v>
      </c>
      <c r="CH196" s="8">
        <v>464</v>
      </c>
      <c r="CJ196" s="9"/>
      <c r="CK196" s="9"/>
      <c r="CL196" s="9"/>
      <c r="CM196" s="9"/>
      <c r="CN196" s="9"/>
      <c r="CO196" s="9"/>
      <c r="CP196" s="9"/>
      <c r="CQ196" s="9"/>
      <c r="CR196" s="9"/>
      <c r="CS196" s="9"/>
      <c r="CT196" s="9"/>
      <c r="CU196" s="9"/>
      <c r="CV196" s="9"/>
      <c r="CW196" s="9"/>
      <c r="CX196" s="9"/>
      <c r="CY196" s="9"/>
      <c r="CZ196" s="9"/>
      <c r="DA196" s="9"/>
      <c r="DB196" s="9"/>
      <c r="DC196" s="9"/>
      <c r="DD196" s="9"/>
      <c r="DE196" s="9"/>
      <c r="DF196" s="9"/>
      <c r="DG196" s="9"/>
      <c r="DH196" s="9"/>
      <c r="DI196" s="9"/>
      <c r="DJ196" s="9"/>
      <c r="DK196" s="9"/>
      <c r="DL196" s="9"/>
      <c r="DM196" s="9"/>
      <c r="DN196" s="9"/>
      <c r="DO196" s="9"/>
      <c r="DP196" s="9"/>
      <c r="DQ196" s="9"/>
      <c r="DR196" s="9"/>
      <c r="DS196" s="9"/>
      <c r="DT196" s="9"/>
      <c r="DU196" s="9"/>
      <c r="DV196" s="9"/>
      <c r="DW196" s="9"/>
      <c r="DX196" s="9"/>
      <c r="DY196" s="9"/>
      <c r="DZ196" s="9"/>
      <c r="EA196" s="9"/>
      <c r="EB196" s="9"/>
      <c r="EC196" s="9"/>
      <c r="ED196" s="9"/>
      <c r="EE196" s="9"/>
      <c r="EF196" s="9"/>
      <c r="EG196" s="9"/>
      <c r="EH196" s="9"/>
      <c r="EI196" s="9"/>
      <c r="EJ196" s="9"/>
      <c r="EK196" s="9"/>
      <c r="EL196" s="9"/>
      <c r="EM196" s="9"/>
      <c r="EN196" s="9"/>
      <c r="EO196" s="9"/>
      <c r="EP196" s="9"/>
      <c r="EQ196" s="9"/>
      <c r="ER196" s="9"/>
      <c r="ES196" s="9"/>
      <c r="ET196" s="9"/>
      <c r="EU196" s="9"/>
      <c r="EV196" s="9"/>
      <c r="EW196" s="9"/>
      <c r="EX196" s="9"/>
      <c r="EY196" s="9"/>
      <c r="EZ196" s="9"/>
      <c r="FA196" s="9"/>
      <c r="FB196" s="9"/>
      <c r="FC196" s="9"/>
      <c r="FD196" s="9"/>
      <c r="FE196" s="9"/>
      <c r="FF196" s="9"/>
      <c r="FG196" s="9"/>
      <c r="FH196" s="9"/>
      <c r="FI196" s="9"/>
    </row>
    <row r="197" spans="1:165" x14ac:dyDescent="0.2">
      <c r="A197" s="1" t="s">
        <v>913</v>
      </c>
      <c r="B197" s="1" t="s">
        <v>914</v>
      </c>
      <c r="C197" s="1" t="s">
        <v>848</v>
      </c>
      <c r="D197" s="1" t="str">
        <f>HYPERLINK("http://eros.fiehnlab.ucdavis.edu:8080/binbase-compound/bin/show/300108?db=rtx5","300108")</f>
        <v>300108</v>
      </c>
      <c r="E197" s="1" t="s">
        <v>915</v>
      </c>
      <c r="F197" s="1" t="s">
        <v>184</v>
      </c>
      <c r="G197" s="1" t="s">
        <v>184</v>
      </c>
      <c r="H197" s="1"/>
      <c r="I197" s="8">
        <v>2595</v>
      </c>
      <c r="J197" s="8">
        <v>1936</v>
      </c>
      <c r="K197" s="8">
        <v>2012</v>
      </c>
      <c r="L197" s="8">
        <v>2104</v>
      </c>
      <c r="M197" s="8">
        <v>4069</v>
      </c>
      <c r="N197" s="8">
        <v>3621</v>
      </c>
      <c r="O197" s="8">
        <v>1609</v>
      </c>
      <c r="P197" s="8">
        <v>1884</v>
      </c>
      <c r="Q197" s="8">
        <v>3017</v>
      </c>
      <c r="R197" s="8">
        <v>3337</v>
      </c>
      <c r="S197" s="8">
        <v>3828</v>
      </c>
      <c r="T197" s="8">
        <v>2504</v>
      </c>
      <c r="U197" s="8">
        <v>1082</v>
      </c>
      <c r="V197" s="8">
        <v>1458</v>
      </c>
      <c r="W197" s="8">
        <v>3284</v>
      </c>
      <c r="X197" s="8">
        <v>3871</v>
      </c>
      <c r="Y197" s="8">
        <v>2323</v>
      </c>
      <c r="Z197" s="8">
        <v>2781</v>
      </c>
      <c r="AA197" s="8">
        <v>1530</v>
      </c>
      <c r="AB197" s="8">
        <v>1407</v>
      </c>
      <c r="AC197" s="8">
        <v>2217</v>
      </c>
      <c r="AD197" s="8">
        <v>1460</v>
      </c>
      <c r="AE197" s="8">
        <v>3761</v>
      </c>
      <c r="AF197" s="8">
        <v>2734</v>
      </c>
      <c r="AG197" s="8">
        <v>1425</v>
      </c>
      <c r="AH197" s="8">
        <v>1624</v>
      </c>
      <c r="AI197" s="8">
        <v>1086</v>
      </c>
      <c r="AJ197" s="8">
        <v>3926</v>
      </c>
      <c r="AK197" s="8">
        <v>2869</v>
      </c>
      <c r="AL197" s="8">
        <v>3089</v>
      </c>
      <c r="AM197" s="8">
        <v>2249</v>
      </c>
      <c r="AN197" s="8">
        <v>2025</v>
      </c>
      <c r="AO197" s="8">
        <v>1753</v>
      </c>
      <c r="AP197" s="8">
        <v>4166</v>
      </c>
      <c r="AQ197" s="8">
        <v>3678</v>
      </c>
      <c r="AR197" s="8">
        <v>2620</v>
      </c>
      <c r="AS197" s="8">
        <v>1690</v>
      </c>
      <c r="AT197" s="8">
        <v>1959</v>
      </c>
      <c r="AU197" s="8">
        <v>1120</v>
      </c>
      <c r="AV197" s="8">
        <v>1358</v>
      </c>
      <c r="AW197" s="8">
        <v>4126</v>
      </c>
      <c r="AX197" s="8">
        <v>2418</v>
      </c>
      <c r="AY197" s="8">
        <v>1944</v>
      </c>
      <c r="AZ197" s="8">
        <v>3378</v>
      </c>
      <c r="BA197" s="8">
        <v>3204</v>
      </c>
      <c r="BB197" s="8">
        <v>3872</v>
      </c>
      <c r="BC197" s="8">
        <v>3876</v>
      </c>
      <c r="BD197" s="8">
        <v>3112</v>
      </c>
      <c r="BE197" s="8">
        <v>1063</v>
      </c>
      <c r="BF197" s="8">
        <v>983</v>
      </c>
      <c r="BG197" s="8">
        <v>1495</v>
      </c>
      <c r="BH197" s="8">
        <v>1297</v>
      </c>
      <c r="BI197" s="8">
        <v>2597</v>
      </c>
      <c r="BJ197" s="8">
        <v>2552</v>
      </c>
      <c r="BK197" s="8">
        <v>2571</v>
      </c>
      <c r="BL197" s="8">
        <v>1664</v>
      </c>
      <c r="BM197" s="8">
        <v>2473</v>
      </c>
      <c r="BN197" s="8">
        <v>2385</v>
      </c>
      <c r="BO197" s="8">
        <v>3551</v>
      </c>
      <c r="BP197" s="8">
        <v>3386</v>
      </c>
      <c r="BQ197" s="8">
        <v>1234</v>
      </c>
      <c r="BR197" s="8">
        <v>1300</v>
      </c>
      <c r="BS197" s="8">
        <v>918</v>
      </c>
      <c r="BT197" s="8">
        <v>2537</v>
      </c>
      <c r="BU197" s="8">
        <v>2619</v>
      </c>
      <c r="BV197" s="8">
        <v>3503</v>
      </c>
      <c r="BW197" s="8">
        <v>1519</v>
      </c>
      <c r="BX197" s="8">
        <v>2201</v>
      </c>
      <c r="BY197" s="8">
        <v>1761</v>
      </c>
      <c r="BZ197" s="8">
        <v>3983</v>
      </c>
      <c r="CA197" s="8">
        <v>3506</v>
      </c>
      <c r="CB197" s="8">
        <v>3213</v>
      </c>
      <c r="CC197" s="8">
        <v>1598</v>
      </c>
      <c r="CD197" s="8">
        <v>1405</v>
      </c>
      <c r="CE197" s="8">
        <v>1689</v>
      </c>
      <c r="CF197" s="8">
        <v>1614</v>
      </c>
      <c r="CG197" s="8">
        <v>3132</v>
      </c>
      <c r="CH197" s="8">
        <v>3248</v>
      </c>
      <c r="CJ197" s="9"/>
      <c r="CK197" s="9"/>
      <c r="CL197" s="9"/>
      <c r="CM197" s="9"/>
      <c r="CN197" s="9"/>
      <c r="CO197" s="9"/>
      <c r="CP197" s="9"/>
      <c r="CQ197" s="9"/>
      <c r="CR197" s="9"/>
      <c r="CS197" s="9"/>
      <c r="CT197" s="9"/>
      <c r="CU197" s="9"/>
      <c r="CV197" s="9"/>
      <c r="CW197" s="9"/>
      <c r="CX197" s="9"/>
      <c r="CY197" s="9"/>
      <c r="CZ197" s="9"/>
      <c r="DA197" s="9"/>
      <c r="DB197" s="9"/>
      <c r="DC197" s="9"/>
      <c r="DD197" s="9"/>
      <c r="DE197" s="9"/>
      <c r="DF197" s="9"/>
      <c r="DG197" s="9"/>
      <c r="DH197" s="9"/>
      <c r="DI197" s="9"/>
      <c r="DJ197" s="9"/>
      <c r="DK197" s="9"/>
      <c r="DL197" s="9"/>
      <c r="DM197" s="9"/>
      <c r="DN197" s="9"/>
      <c r="DO197" s="9"/>
      <c r="DP197" s="9"/>
      <c r="DQ197" s="9"/>
      <c r="DR197" s="9"/>
      <c r="DS197" s="9"/>
      <c r="DT197" s="9"/>
      <c r="DU197" s="9"/>
      <c r="DV197" s="9"/>
      <c r="DW197" s="9"/>
      <c r="DX197" s="9"/>
      <c r="DY197" s="9"/>
      <c r="DZ197" s="9"/>
      <c r="EA197" s="9"/>
      <c r="EB197" s="9"/>
      <c r="EC197" s="9"/>
      <c r="ED197" s="9"/>
      <c r="EE197" s="9"/>
      <c r="EF197" s="9"/>
      <c r="EG197" s="9"/>
      <c r="EH197" s="9"/>
      <c r="EI197" s="9"/>
      <c r="EJ197" s="9"/>
      <c r="EK197" s="9"/>
      <c r="EL197" s="9"/>
      <c r="EM197" s="9"/>
      <c r="EN197" s="9"/>
      <c r="EO197" s="9"/>
      <c r="EP197" s="9"/>
      <c r="EQ197" s="9"/>
      <c r="ER197" s="9"/>
      <c r="ES197" s="9"/>
      <c r="ET197" s="9"/>
      <c r="EU197" s="9"/>
      <c r="EV197" s="9"/>
      <c r="EW197" s="9"/>
      <c r="EX197" s="9"/>
      <c r="EY197" s="9"/>
      <c r="EZ197" s="9"/>
      <c r="FA197" s="9"/>
      <c r="FB197" s="9"/>
      <c r="FC197" s="9"/>
      <c r="FD197" s="9"/>
      <c r="FE197" s="9"/>
      <c r="FF197" s="9"/>
      <c r="FG197" s="9"/>
      <c r="FH197" s="9"/>
      <c r="FI197" s="9"/>
    </row>
    <row r="198" spans="1:165" x14ac:dyDescent="0.2">
      <c r="A198" s="1" t="s">
        <v>1113</v>
      </c>
      <c r="B198" s="1" t="s">
        <v>1114</v>
      </c>
      <c r="C198" s="1" t="s">
        <v>371</v>
      </c>
      <c r="D198" s="1" t="str">
        <f>HYPERLINK("http://eros.fiehnlab.ucdavis.edu:8080/binbase-compound/bin/show/229947?db=rtx5","229947")</f>
        <v>229947</v>
      </c>
      <c r="E198" s="1" t="s">
        <v>1115</v>
      </c>
      <c r="F198" s="1" t="s">
        <v>184</v>
      </c>
      <c r="G198" s="1" t="s">
        <v>184</v>
      </c>
      <c r="H198" s="1"/>
      <c r="I198" s="8">
        <v>749</v>
      </c>
      <c r="J198" s="8">
        <v>463</v>
      </c>
      <c r="K198" s="8">
        <v>794</v>
      </c>
      <c r="L198" s="8">
        <v>465</v>
      </c>
      <c r="M198" s="8">
        <v>929</v>
      </c>
      <c r="N198" s="8">
        <v>594</v>
      </c>
      <c r="O198" s="8">
        <v>509</v>
      </c>
      <c r="P198" s="8">
        <v>686</v>
      </c>
      <c r="Q198" s="8">
        <v>1005</v>
      </c>
      <c r="R198" s="8">
        <v>696</v>
      </c>
      <c r="S198" s="8">
        <v>718</v>
      </c>
      <c r="T198" s="8">
        <v>906</v>
      </c>
      <c r="U198" s="8">
        <v>806</v>
      </c>
      <c r="V198" s="8">
        <v>771</v>
      </c>
      <c r="W198" s="8">
        <v>1785</v>
      </c>
      <c r="X198" s="8">
        <v>1021</v>
      </c>
      <c r="Y198" s="8">
        <v>754</v>
      </c>
      <c r="Z198" s="8">
        <v>849</v>
      </c>
      <c r="AA198" s="8">
        <v>498</v>
      </c>
      <c r="AB198" s="8">
        <v>519</v>
      </c>
      <c r="AC198" s="8">
        <v>544</v>
      </c>
      <c r="AD198" s="8">
        <v>512</v>
      </c>
      <c r="AE198" s="8">
        <v>744</v>
      </c>
      <c r="AF198" s="8">
        <v>491</v>
      </c>
      <c r="AG198" s="8">
        <v>1065</v>
      </c>
      <c r="AH198" s="8">
        <v>736</v>
      </c>
      <c r="AI198" s="8">
        <v>667</v>
      </c>
      <c r="AJ198" s="8">
        <v>1805</v>
      </c>
      <c r="AK198" s="8">
        <v>923</v>
      </c>
      <c r="AL198" s="8">
        <v>650</v>
      </c>
      <c r="AM198" s="8">
        <v>483</v>
      </c>
      <c r="AN198" s="8">
        <v>557</v>
      </c>
      <c r="AO198" s="8">
        <v>412</v>
      </c>
      <c r="AP198" s="8">
        <v>361</v>
      </c>
      <c r="AQ198" s="8">
        <v>352</v>
      </c>
      <c r="AR198" s="8">
        <v>375</v>
      </c>
      <c r="AS198" s="8">
        <v>881</v>
      </c>
      <c r="AT198" s="8">
        <v>731</v>
      </c>
      <c r="AU198" s="8">
        <v>631</v>
      </c>
      <c r="AV198" s="8">
        <v>545</v>
      </c>
      <c r="AW198" s="8">
        <v>762</v>
      </c>
      <c r="AX198" s="8">
        <v>581</v>
      </c>
      <c r="AY198" s="8">
        <v>357</v>
      </c>
      <c r="AZ198" s="8">
        <v>508</v>
      </c>
      <c r="BA198" s="8">
        <v>533</v>
      </c>
      <c r="BB198" s="8">
        <v>520</v>
      </c>
      <c r="BC198" s="8">
        <v>413</v>
      </c>
      <c r="BD198" s="8">
        <v>562</v>
      </c>
      <c r="BE198" s="8">
        <v>1247</v>
      </c>
      <c r="BF198" s="8">
        <v>1043</v>
      </c>
      <c r="BG198" s="8">
        <v>704</v>
      </c>
      <c r="BH198" s="8">
        <v>578</v>
      </c>
      <c r="BI198" s="8">
        <v>675</v>
      </c>
      <c r="BJ198" s="8">
        <v>732</v>
      </c>
      <c r="BK198" s="8">
        <v>358</v>
      </c>
      <c r="BL198" s="8">
        <v>571</v>
      </c>
      <c r="BM198" s="8">
        <v>601</v>
      </c>
      <c r="BN198" s="8">
        <v>515</v>
      </c>
      <c r="BO198" s="8">
        <v>554</v>
      </c>
      <c r="BP198" s="8">
        <v>808</v>
      </c>
      <c r="BQ198" s="8">
        <v>1504</v>
      </c>
      <c r="BR198" s="8">
        <v>598</v>
      </c>
      <c r="BS198" s="8">
        <v>891</v>
      </c>
      <c r="BT198" s="8">
        <v>714</v>
      </c>
      <c r="BU198" s="8">
        <v>572</v>
      </c>
      <c r="BV198" s="8">
        <v>722</v>
      </c>
      <c r="BW198" s="8">
        <v>802</v>
      </c>
      <c r="BX198" s="8">
        <v>443</v>
      </c>
      <c r="BY198" s="8">
        <v>634</v>
      </c>
      <c r="BZ198" s="8">
        <v>716</v>
      </c>
      <c r="CA198" s="8">
        <v>640</v>
      </c>
      <c r="CB198" s="8">
        <v>376</v>
      </c>
      <c r="CC198" s="8">
        <v>658</v>
      </c>
      <c r="CD198" s="8">
        <v>693</v>
      </c>
      <c r="CE198" s="8">
        <v>681</v>
      </c>
      <c r="CF198" s="8">
        <v>577</v>
      </c>
      <c r="CG198" s="8">
        <v>1116</v>
      </c>
      <c r="CH198" s="8">
        <v>925</v>
      </c>
      <c r="CJ198" s="9"/>
      <c r="CK198" s="9"/>
      <c r="CL198" s="9"/>
      <c r="CM198" s="9"/>
      <c r="CN198" s="9"/>
      <c r="CO198" s="9"/>
      <c r="CP198" s="9"/>
      <c r="CQ198" s="9"/>
      <c r="CR198" s="9"/>
      <c r="CS198" s="9"/>
      <c r="CT198" s="9"/>
      <c r="CU198" s="9"/>
      <c r="CV198" s="9"/>
      <c r="CW198" s="9"/>
      <c r="CX198" s="9"/>
      <c r="CY198" s="9"/>
      <c r="CZ198" s="9"/>
      <c r="DA198" s="9"/>
      <c r="DB198" s="9"/>
      <c r="DC198" s="9"/>
      <c r="DD198" s="9"/>
      <c r="DE198" s="9"/>
      <c r="DF198" s="9"/>
      <c r="DG198" s="9"/>
      <c r="DH198" s="9"/>
      <c r="DI198" s="9"/>
      <c r="DJ198" s="9"/>
      <c r="DK198" s="9"/>
      <c r="DL198" s="9"/>
      <c r="DM198" s="9"/>
      <c r="DN198" s="9"/>
      <c r="DO198" s="9"/>
      <c r="DP198" s="9"/>
      <c r="DQ198" s="9"/>
      <c r="DR198" s="9"/>
      <c r="DS198" s="9"/>
      <c r="DT198" s="9"/>
      <c r="DU198" s="9"/>
      <c r="DV198" s="9"/>
      <c r="DW198" s="9"/>
      <c r="DX198" s="9"/>
      <c r="DY198" s="9"/>
      <c r="DZ198" s="9"/>
      <c r="EA198" s="9"/>
      <c r="EB198" s="9"/>
      <c r="EC198" s="9"/>
      <c r="ED198" s="9"/>
      <c r="EE198" s="9"/>
      <c r="EF198" s="9"/>
      <c r="EG198" s="9"/>
      <c r="EH198" s="9"/>
      <c r="EI198" s="9"/>
      <c r="EJ198" s="9"/>
      <c r="EK198" s="9"/>
      <c r="EL198" s="9"/>
      <c r="EM198" s="9"/>
      <c r="EN198" s="9"/>
      <c r="EO198" s="9"/>
      <c r="EP198" s="9"/>
      <c r="EQ198" s="9"/>
      <c r="ER198" s="9"/>
      <c r="ES198" s="9"/>
      <c r="ET198" s="9"/>
      <c r="EU198" s="9"/>
      <c r="EV198" s="9"/>
      <c r="EW198" s="9"/>
      <c r="EX198" s="9"/>
      <c r="EY198" s="9"/>
      <c r="EZ198" s="9"/>
      <c r="FA198" s="9"/>
      <c r="FB198" s="9"/>
      <c r="FC198" s="9"/>
      <c r="FD198" s="9"/>
      <c r="FE198" s="9"/>
      <c r="FF198" s="9"/>
      <c r="FG198" s="9"/>
      <c r="FH198" s="9"/>
      <c r="FI198" s="9"/>
    </row>
    <row r="199" spans="1:165" x14ac:dyDescent="0.2">
      <c r="A199" s="1" t="s">
        <v>830</v>
      </c>
      <c r="B199" s="1" t="s">
        <v>831</v>
      </c>
      <c r="C199" s="1" t="s">
        <v>620</v>
      </c>
      <c r="D199" s="1" t="str">
        <f>HYPERLINK("http://eros.fiehnlab.ucdavis.edu:8080/binbase-compound/bin/show/343526?db=rtx5","343526")</f>
        <v>343526</v>
      </c>
      <c r="E199" s="1" t="s">
        <v>832</v>
      </c>
      <c r="F199" s="1" t="s">
        <v>184</v>
      </c>
      <c r="G199" s="1" t="s">
        <v>184</v>
      </c>
      <c r="H199" s="1"/>
      <c r="I199" s="8">
        <v>576</v>
      </c>
      <c r="J199" s="8">
        <v>409</v>
      </c>
      <c r="K199" s="8">
        <v>245</v>
      </c>
      <c r="L199" s="8">
        <v>188</v>
      </c>
      <c r="M199" s="8">
        <v>244</v>
      </c>
      <c r="N199" s="8">
        <v>231</v>
      </c>
      <c r="O199" s="8">
        <v>815</v>
      </c>
      <c r="P199" s="8">
        <v>642</v>
      </c>
      <c r="Q199" s="8">
        <v>639</v>
      </c>
      <c r="R199" s="8">
        <v>400</v>
      </c>
      <c r="S199" s="8">
        <v>410</v>
      </c>
      <c r="T199" s="8">
        <v>1412</v>
      </c>
      <c r="U199" s="8">
        <v>279</v>
      </c>
      <c r="V199" s="8">
        <v>298</v>
      </c>
      <c r="W199" s="8">
        <v>439</v>
      </c>
      <c r="X199" s="8">
        <v>676</v>
      </c>
      <c r="Y199" s="8">
        <v>518</v>
      </c>
      <c r="Z199" s="8">
        <v>504</v>
      </c>
      <c r="AA199" s="8">
        <v>305</v>
      </c>
      <c r="AB199" s="8">
        <v>370</v>
      </c>
      <c r="AC199" s="8">
        <v>485</v>
      </c>
      <c r="AD199" s="8">
        <v>263</v>
      </c>
      <c r="AE199" s="8">
        <v>451</v>
      </c>
      <c r="AF199" s="8">
        <v>258</v>
      </c>
      <c r="AG199" s="8">
        <v>688</v>
      </c>
      <c r="AH199" s="8">
        <v>446</v>
      </c>
      <c r="AI199" s="8">
        <v>616</v>
      </c>
      <c r="AJ199" s="8">
        <v>1162</v>
      </c>
      <c r="AK199" s="8">
        <v>316</v>
      </c>
      <c r="AL199" s="8">
        <v>241</v>
      </c>
      <c r="AM199" s="8">
        <v>818</v>
      </c>
      <c r="AN199" s="8">
        <v>442</v>
      </c>
      <c r="AO199" s="8">
        <v>776</v>
      </c>
      <c r="AP199" s="8">
        <v>514</v>
      </c>
      <c r="AQ199" s="8">
        <v>659</v>
      </c>
      <c r="AR199" s="8">
        <v>403</v>
      </c>
      <c r="AS199" s="8">
        <v>526</v>
      </c>
      <c r="AT199" s="8">
        <v>590</v>
      </c>
      <c r="AU199" s="8">
        <v>460</v>
      </c>
      <c r="AV199" s="8">
        <v>375</v>
      </c>
      <c r="AW199" s="8">
        <v>754</v>
      </c>
      <c r="AX199" s="8">
        <v>532</v>
      </c>
      <c r="AY199" s="8">
        <v>315</v>
      </c>
      <c r="AZ199" s="8">
        <v>354</v>
      </c>
      <c r="BA199" s="8">
        <v>238</v>
      </c>
      <c r="BB199" s="8">
        <v>291</v>
      </c>
      <c r="BC199" s="8">
        <v>338</v>
      </c>
      <c r="BD199" s="8">
        <v>280</v>
      </c>
      <c r="BE199" s="8">
        <v>467</v>
      </c>
      <c r="BF199" s="8">
        <v>283</v>
      </c>
      <c r="BG199" s="8">
        <v>506</v>
      </c>
      <c r="BH199" s="8">
        <v>872</v>
      </c>
      <c r="BI199" s="8">
        <v>361</v>
      </c>
      <c r="BJ199" s="8">
        <v>436</v>
      </c>
      <c r="BK199" s="8">
        <v>661</v>
      </c>
      <c r="BL199" s="8">
        <v>713</v>
      </c>
      <c r="BM199" s="8">
        <v>583</v>
      </c>
      <c r="BN199" s="8">
        <v>490</v>
      </c>
      <c r="BO199" s="8">
        <v>575</v>
      </c>
      <c r="BP199" s="8">
        <v>557</v>
      </c>
      <c r="BQ199" s="8">
        <v>924</v>
      </c>
      <c r="BR199" s="8">
        <v>569</v>
      </c>
      <c r="BS199" s="8">
        <v>792</v>
      </c>
      <c r="BT199" s="8">
        <v>556</v>
      </c>
      <c r="BU199" s="8">
        <v>381</v>
      </c>
      <c r="BV199" s="8">
        <v>418</v>
      </c>
      <c r="BW199" s="8">
        <v>481</v>
      </c>
      <c r="BX199" s="8">
        <v>347</v>
      </c>
      <c r="BY199" s="8">
        <v>440</v>
      </c>
      <c r="BZ199" s="8">
        <v>298</v>
      </c>
      <c r="CA199" s="8">
        <v>303</v>
      </c>
      <c r="CB199" s="8">
        <v>215</v>
      </c>
      <c r="CC199" s="8">
        <v>384</v>
      </c>
      <c r="CD199" s="8">
        <v>585</v>
      </c>
      <c r="CE199" s="8">
        <v>427</v>
      </c>
      <c r="CF199" s="8">
        <v>414</v>
      </c>
      <c r="CG199" s="8">
        <v>594</v>
      </c>
      <c r="CH199" s="8">
        <v>510</v>
      </c>
      <c r="CJ199" s="9"/>
      <c r="CK199" s="9"/>
      <c r="CL199" s="9"/>
      <c r="CM199" s="9"/>
      <c r="CN199" s="9"/>
      <c r="CO199" s="9"/>
      <c r="CP199" s="9"/>
      <c r="CQ199" s="9"/>
      <c r="CR199" s="9"/>
      <c r="CS199" s="9"/>
      <c r="CT199" s="9"/>
      <c r="CU199" s="9"/>
      <c r="CV199" s="9"/>
      <c r="CW199" s="9"/>
      <c r="CX199" s="9"/>
      <c r="CY199" s="9"/>
      <c r="CZ199" s="9"/>
      <c r="DA199" s="9"/>
      <c r="DB199" s="9"/>
      <c r="DC199" s="9"/>
      <c r="DD199" s="9"/>
      <c r="DE199" s="9"/>
      <c r="DF199" s="9"/>
      <c r="DG199" s="9"/>
      <c r="DH199" s="9"/>
      <c r="DI199" s="9"/>
      <c r="DJ199" s="9"/>
      <c r="DK199" s="9"/>
      <c r="DL199" s="9"/>
      <c r="DM199" s="9"/>
      <c r="DN199" s="9"/>
      <c r="DO199" s="9"/>
      <c r="DP199" s="9"/>
      <c r="DQ199" s="9"/>
      <c r="DR199" s="9"/>
      <c r="DS199" s="9"/>
      <c r="DT199" s="9"/>
      <c r="DU199" s="9"/>
      <c r="DV199" s="9"/>
      <c r="DW199" s="9"/>
      <c r="DX199" s="9"/>
      <c r="DY199" s="9"/>
      <c r="DZ199" s="9"/>
      <c r="EA199" s="9"/>
      <c r="EB199" s="9"/>
      <c r="EC199" s="9"/>
      <c r="ED199" s="9"/>
      <c r="EE199" s="9"/>
      <c r="EF199" s="9"/>
      <c r="EG199" s="9"/>
      <c r="EH199" s="9"/>
      <c r="EI199" s="9"/>
      <c r="EJ199" s="9"/>
      <c r="EK199" s="9"/>
      <c r="EL199" s="9"/>
      <c r="EM199" s="9"/>
      <c r="EN199" s="9"/>
      <c r="EO199" s="9"/>
      <c r="EP199" s="9"/>
      <c r="EQ199" s="9"/>
      <c r="ER199" s="9"/>
      <c r="ES199" s="9"/>
      <c r="ET199" s="9"/>
      <c r="EU199" s="9"/>
      <c r="EV199" s="9"/>
      <c r="EW199" s="9"/>
      <c r="EX199" s="9"/>
      <c r="EY199" s="9"/>
      <c r="EZ199" s="9"/>
      <c r="FA199" s="9"/>
      <c r="FB199" s="9"/>
      <c r="FC199" s="9"/>
      <c r="FD199" s="9"/>
      <c r="FE199" s="9"/>
      <c r="FF199" s="9"/>
      <c r="FG199" s="9"/>
      <c r="FH199" s="9"/>
      <c r="FI199" s="9"/>
    </row>
    <row r="200" spans="1:165" x14ac:dyDescent="0.2">
      <c r="A200" s="1" t="s">
        <v>1308</v>
      </c>
      <c r="B200" s="1" t="s">
        <v>1309</v>
      </c>
      <c r="C200" s="1" t="s">
        <v>371</v>
      </c>
      <c r="D200" s="1" t="str">
        <f>HYPERLINK("http://eros.fiehnlab.ucdavis.edu:8080/binbase-compound/bin/show/210286?db=rtx5","210286")</f>
        <v>210286</v>
      </c>
      <c r="E200" s="1" t="s">
        <v>1310</v>
      </c>
      <c r="F200" s="1" t="s">
        <v>184</v>
      </c>
      <c r="G200" s="1" t="s">
        <v>184</v>
      </c>
      <c r="H200" s="1"/>
      <c r="I200" s="8">
        <v>79</v>
      </c>
      <c r="J200" s="8">
        <v>115</v>
      </c>
      <c r="K200" s="8">
        <v>196</v>
      </c>
      <c r="L200" s="8">
        <v>237</v>
      </c>
      <c r="M200" s="8">
        <v>325</v>
      </c>
      <c r="N200" s="8">
        <v>180</v>
      </c>
      <c r="O200" s="8">
        <v>743</v>
      </c>
      <c r="P200" s="8">
        <v>104</v>
      </c>
      <c r="Q200" s="8">
        <v>181</v>
      </c>
      <c r="R200" s="8">
        <v>249</v>
      </c>
      <c r="S200" s="8">
        <v>269</v>
      </c>
      <c r="T200" s="8">
        <v>73</v>
      </c>
      <c r="U200" s="8">
        <v>114</v>
      </c>
      <c r="V200" s="8">
        <v>105</v>
      </c>
      <c r="W200" s="8">
        <v>298</v>
      </c>
      <c r="X200" s="8">
        <v>72</v>
      </c>
      <c r="Y200" s="8">
        <v>237</v>
      </c>
      <c r="Z200" s="8">
        <v>164</v>
      </c>
      <c r="AA200" s="8">
        <v>894</v>
      </c>
      <c r="AB200" s="8">
        <v>353</v>
      </c>
      <c r="AC200" s="8">
        <v>21</v>
      </c>
      <c r="AD200" s="8">
        <v>361</v>
      </c>
      <c r="AE200" s="8">
        <v>280</v>
      </c>
      <c r="AF200" s="8">
        <v>835</v>
      </c>
      <c r="AG200" s="8">
        <v>237</v>
      </c>
      <c r="AH200" s="8">
        <v>173</v>
      </c>
      <c r="AI200" s="8">
        <v>54</v>
      </c>
      <c r="AJ200" s="8">
        <v>217</v>
      </c>
      <c r="AK200" s="8">
        <v>102</v>
      </c>
      <c r="AL200" s="8">
        <v>189</v>
      </c>
      <c r="AM200" s="8">
        <v>371</v>
      </c>
      <c r="AN200" s="8">
        <v>254</v>
      </c>
      <c r="AO200" s="8">
        <v>413</v>
      </c>
      <c r="AP200" s="8">
        <v>377</v>
      </c>
      <c r="AQ200" s="8">
        <v>260</v>
      </c>
      <c r="AR200" s="8">
        <v>489</v>
      </c>
      <c r="AS200" s="8">
        <v>266</v>
      </c>
      <c r="AT200" s="8">
        <v>94</v>
      </c>
      <c r="AU200" s="8">
        <v>120</v>
      </c>
      <c r="AV200" s="8">
        <v>437</v>
      </c>
      <c r="AW200" s="8">
        <v>397</v>
      </c>
      <c r="AX200" s="8">
        <v>277</v>
      </c>
      <c r="AY200" s="8">
        <v>187</v>
      </c>
      <c r="AZ200" s="8">
        <v>212</v>
      </c>
      <c r="BA200" s="8">
        <v>19</v>
      </c>
      <c r="BB200" s="8">
        <v>151</v>
      </c>
      <c r="BC200" s="8">
        <v>395</v>
      </c>
      <c r="BD200" s="8">
        <v>366</v>
      </c>
      <c r="BE200" s="8">
        <v>222</v>
      </c>
      <c r="BF200" s="8">
        <v>53</v>
      </c>
      <c r="BG200" s="8">
        <v>132</v>
      </c>
      <c r="BH200" s="8">
        <v>327</v>
      </c>
      <c r="BI200" s="8">
        <v>234</v>
      </c>
      <c r="BJ200" s="8">
        <v>127</v>
      </c>
      <c r="BK200" s="8">
        <v>210</v>
      </c>
      <c r="BL200" s="8">
        <v>183</v>
      </c>
      <c r="BM200" s="8">
        <v>248</v>
      </c>
      <c r="BN200" s="8">
        <v>443</v>
      </c>
      <c r="BO200" s="8">
        <v>162</v>
      </c>
      <c r="BP200" s="8">
        <v>334</v>
      </c>
      <c r="BQ200" s="8">
        <v>224</v>
      </c>
      <c r="BR200" s="8">
        <v>79</v>
      </c>
      <c r="BS200" s="8">
        <v>168</v>
      </c>
      <c r="BT200" s="8">
        <v>213</v>
      </c>
      <c r="BU200" s="8">
        <v>137</v>
      </c>
      <c r="BV200" s="8">
        <v>108</v>
      </c>
      <c r="BW200" s="8">
        <v>452</v>
      </c>
      <c r="BX200" s="8">
        <v>254</v>
      </c>
      <c r="BY200" s="8">
        <v>251</v>
      </c>
      <c r="BZ200" s="8">
        <v>351</v>
      </c>
      <c r="CA200" s="8">
        <v>335</v>
      </c>
      <c r="CB200" s="8">
        <v>534</v>
      </c>
      <c r="CC200" s="8">
        <v>304</v>
      </c>
      <c r="CD200" s="8">
        <v>202</v>
      </c>
      <c r="CE200" s="8">
        <v>173</v>
      </c>
      <c r="CF200" s="8">
        <v>43</v>
      </c>
      <c r="CG200" s="8">
        <v>222</v>
      </c>
      <c r="CH200" s="8">
        <v>178</v>
      </c>
      <c r="CJ200" s="9"/>
      <c r="CK200" s="9"/>
      <c r="CL200" s="9"/>
      <c r="CM200" s="9"/>
      <c r="CN200" s="9"/>
      <c r="CO200" s="9"/>
      <c r="CP200" s="9"/>
      <c r="CQ200" s="9"/>
      <c r="CR200" s="9"/>
      <c r="CS200" s="9"/>
      <c r="CT200" s="9"/>
      <c r="CU200" s="9"/>
      <c r="CV200" s="9"/>
      <c r="CW200" s="9"/>
      <c r="CX200" s="9"/>
      <c r="CY200" s="9"/>
      <c r="CZ200" s="9"/>
      <c r="DA200" s="9"/>
      <c r="DB200" s="9"/>
      <c r="DC200" s="9"/>
      <c r="DD200" s="9"/>
      <c r="DE200" s="9"/>
      <c r="DF200" s="9"/>
      <c r="DG200" s="9"/>
      <c r="DH200" s="9"/>
      <c r="DI200" s="9"/>
      <c r="DJ200" s="9"/>
      <c r="DK200" s="9"/>
      <c r="DL200" s="9"/>
      <c r="DM200" s="9"/>
      <c r="DN200" s="9"/>
      <c r="DO200" s="9"/>
      <c r="DP200" s="9"/>
      <c r="DQ200" s="9"/>
      <c r="DR200" s="9"/>
      <c r="DS200" s="9"/>
      <c r="DT200" s="9"/>
      <c r="DU200" s="9"/>
      <c r="DV200" s="9"/>
      <c r="DW200" s="9"/>
      <c r="DX200" s="9"/>
      <c r="DY200" s="9"/>
      <c r="DZ200" s="9"/>
      <c r="EA200" s="9"/>
      <c r="EB200" s="9"/>
      <c r="EC200" s="9"/>
      <c r="ED200" s="9"/>
      <c r="EE200" s="9"/>
      <c r="EF200" s="9"/>
      <c r="EG200" s="9"/>
      <c r="EH200" s="9"/>
      <c r="EI200" s="9"/>
      <c r="EJ200" s="9"/>
      <c r="EK200" s="9"/>
      <c r="EL200" s="9"/>
      <c r="EM200" s="9"/>
      <c r="EN200" s="9"/>
      <c r="EO200" s="9"/>
      <c r="EP200" s="9"/>
      <c r="EQ200" s="9"/>
      <c r="ER200" s="9"/>
      <c r="ES200" s="9"/>
      <c r="ET200" s="9"/>
      <c r="EU200" s="9"/>
      <c r="EV200" s="9"/>
      <c r="EW200" s="9"/>
      <c r="EX200" s="9"/>
      <c r="EY200" s="9"/>
      <c r="EZ200" s="9"/>
      <c r="FA200" s="9"/>
      <c r="FB200" s="9"/>
      <c r="FC200" s="9"/>
      <c r="FD200" s="9"/>
      <c r="FE200" s="9"/>
      <c r="FF200" s="9"/>
      <c r="FG200" s="9"/>
      <c r="FH200" s="9"/>
      <c r="FI200" s="9"/>
    </row>
    <row r="201" spans="1:165" x14ac:dyDescent="0.2">
      <c r="A201" s="1" t="s">
        <v>1003</v>
      </c>
      <c r="B201" s="1" t="s">
        <v>1004</v>
      </c>
      <c r="C201" s="1" t="s">
        <v>719</v>
      </c>
      <c r="D201" s="1" t="str">
        <f>HYPERLINK("http://eros.fiehnlab.ucdavis.edu:8080/binbase-compound/bin/show/270409?db=rtx5","270409")</f>
        <v>270409</v>
      </c>
      <c r="E201" s="1" t="s">
        <v>1005</v>
      </c>
      <c r="F201" s="1" t="s">
        <v>184</v>
      </c>
      <c r="G201" s="1" t="s">
        <v>184</v>
      </c>
      <c r="H201" s="1"/>
      <c r="I201" s="8">
        <v>1920</v>
      </c>
      <c r="J201" s="8">
        <v>2284</v>
      </c>
      <c r="K201" s="8">
        <v>1349</v>
      </c>
      <c r="L201" s="8">
        <v>1346</v>
      </c>
      <c r="M201" s="8">
        <v>1597</v>
      </c>
      <c r="N201" s="8">
        <v>1743</v>
      </c>
      <c r="O201" s="8">
        <v>1298</v>
      </c>
      <c r="P201" s="8">
        <v>1133</v>
      </c>
      <c r="Q201" s="8">
        <v>1669</v>
      </c>
      <c r="R201" s="8">
        <v>1910</v>
      </c>
      <c r="S201" s="8">
        <v>1900</v>
      </c>
      <c r="T201" s="8">
        <v>1322</v>
      </c>
      <c r="U201" s="8">
        <v>1650</v>
      </c>
      <c r="V201" s="8">
        <v>1822</v>
      </c>
      <c r="W201" s="8">
        <v>1164</v>
      </c>
      <c r="X201" s="8">
        <v>888</v>
      </c>
      <c r="Y201" s="8">
        <v>1516</v>
      </c>
      <c r="Z201" s="8">
        <v>1708</v>
      </c>
      <c r="AA201" s="8">
        <v>759</v>
      </c>
      <c r="AB201" s="8">
        <v>1778</v>
      </c>
      <c r="AC201" s="8">
        <v>1067</v>
      </c>
      <c r="AD201" s="8">
        <v>1326</v>
      </c>
      <c r="AE201" s="8">
        <v>1101</v>
      </c>
      <c r="AF201" s="8">
        <v>1291</v>
      </c>
      <c r="AG201" s="8">
        <v>470</v>
      </c>
      <c r="AH201" s="8">
        <v>1585</v>
      </c>
      <c r="AI201" s="8">
        <v>1290</v>
      </c>
      <c r="AJ201" s="8">
        <v>2399</v>
      </c>
      <c r="AK201" s="8">
        <v>1380</v>
      </c>
      <c r="AL201" s="8">
        <v>1906</v>
      </c>
      <c r="AM201" s="8">
        <v>2369</v>
      </c>
      <c r="AN201" s="8">
        <v>1560</v>
      </c>
      <c r="AO201" s="8">
        <v>1650</v>
      </c>
      <c r="AP201" s="8">
        <v>1897</v>
      </c>
      <c r="AQ201" s="8">
        <v>1867</v>
      </c>
      <c r="AR201" s="8">
        <v>1622</v>
      </c>
      <c r="AS201" s="8">
        <v>832</v>
      </c>
      <c r="AT201" s="8">
        <v>1285</v>
      </c>
      <c r="AU201" s="8">
        <v>1769</v>
      </c>
      <c r="AV201" s="8">
        <v>1214</v>
      </c>
      <c r="AW201" s="8">
        <v>1051</v>
      </c>
      <c r="AX201" s="8">
        <v>1889</v>
      </c>
      <c r="AY201" s="8">
        <v>1437</v>
      </c>
      <c r="AZ201" s="8">
        <v>1206</v>
      </c>
      <c r="BA201" s="8">
        <v>1210</v>
      </c>
      <c r="BB201" s="8">
        <v>2163</v>
      </c>
      <c r="BC201" s="8">
        <v>1474</v>
      </c>
      <c r="BD201" s="8">
        <v>1811</v>
      </c>
      <c r="BE201" s="8">
        <v>1169</v>
      </c>
      <c r="BF201" s="8">
        <v>1568</v>
      </c>
      <c r="BG201" s="8">
        <v>1196</v>
      </c>
      <c r="BH201" s="8">
        <v>1048</v>
      </c>
      <c r="BI201" s="8">
        <v>1198</v>
      </c>
      <c r="BJ201" s="8">
        <v>1444</v>
      </c>
      <c r="BK201" s="8">
        <v>1138</v>
      </c>
      <c r="BL201" s="8">
        <v>1691</v>
      </c>
      <c r="BM201" s="8">
        <v>2169</v>
      </c>
      <c r="BN201" s="8">
        <v>663</v>
      </c>
      <c r="BO201" s="8">
        <v>1307</v>
      </c>
      <c r="BP201" s="8">
        <v>2042</v>
      </c>
      <c r="BQ201" s="8">
        <v>1321</v>
      </c>
      <c r="BR201" s="8">
        <v>1262</v>
      </c>
      <c r="BS201" s="8">
        <v>1869</v>
      </c>
      <c r="BT201" s="8">
        <v>1413</v>
      </c>
      <c r="BU201" s="8">
        <v>1397</v>
      </c>
      <c r="BV201" s="8">
        <v>1613</v>
      </c>
      <c r="BW201" s="8">
        <v>1592</v>
      </c>
      <c r="BX201" s="8">
        <v>1364</v>
      </c>
      <c r="BY201" s="8">
        <v>1331</v>
      </c>
      <c r="BZ201" s="8">
        <v>1533</v>
      </c>
      <c r="CA201" s="8">
        <v>1282</v>
      </c>
      <c r="CB201" s="8">
        <v>913</v>
      </c>
      <c r="CC201" s="8">
        <v>988</v>
      </c>
      <c r="CD201" s="8">
        <v>848</v>
      </c>
      <c r="CE201" s="8">
        <v>1573</v>
      </c>
      <c r="CF201" s="8">
        <v>1249</v>
      </c>
      <c r="CG201" s="8">
        <v>766</v>
      </c>
      <c r="CH201" s="8">
        <v>1173</v>
      </c>
      <c r="CJ201" s="9"/>
      <c r="CK201" s="9"/>
      <c r="CL201" s="9"/>
      <c r="CM201" s="9"/>
      <c r="CN201" s="9"/>
      <c r="CO201" s="9"/>
      <c r="CP201" s="9"/>
      <c r="CQ201" s="9"/>
      <c r="CR201" s="9"/>
      <c r="CS201" s="9"/>
      <c r="CT201" s="9"/>
      <c r="CU201" s="9"/>
      <c r="CV201" s="9"/>
      <c r="CW201" s="9"/>
      <c r="CX201" s="9"/>
      <c r="CY201" s="9"/>
      <c r="CZ201" s="9"/>
      <c r="DA201" s="9"/>
      <c r="DB201" s="9"/>
      <c r="DC201" s="9"/>
      <c r="DD201" s="9"/>
      <c r="DE201" s="9"/>
      <c r="DF201" s="9"/>
      <c r="DG201" s="9"/>
      <c r="DH201" s="9"/>
      <c r="DI201" s="9"/>
      <c r="DJ201" s="9"/>
      <c r="DK201" s="9"/>
      <c r="DL201" s="9"/>
      <c r="DM201" s="9"/>
      <c r="DN201" s="9"/>
      <c r="DO201" s="9"/>
      <c r="DP201" s="9"/>
      <c r="DQ201" s="9"/>
      <c r="DR201" s="9"/>
      <c r="DS201" s="9"/>
      <c r="DT201" s="9"/>
      <c r="DU201" s="9"/>
      <c r="DV201" s="9"/>
      <c r="DW201" s="9"/>
      <c r="DX201" s="9"/>
      <c r="DY201" s="9"/>
      <c r="DZ201" s="9"/>
      <c r="EA201" s="9"/>
      <c r="EB201" s="9"/>
      <c r="EC201" s="9"/>
      <c r="ED201" s="9"/>
      <c r="EE201" s="9"/>
      <c r="EF201" s="9"/>
      <c r="EG201" s="9"/>
      <c r="EH201" s="9"/>
      <c r="EI201" s="9"/>
      <c r="EJ201" s="9"/>
      <c r="EK201" s="9"/>
      <c r="EL201" s="9"/>
      <c r="EM201" s="9"/>
      <c r="EN201" s="9"/>
      <c r="EO201" s="9"/>
      <c r="EP201" s="9"/>
      <c r="EQ201" s="9"/>
      <c r="ER201" s="9"/>
      <c r="ES201" s="9"/>
      <c r="ET201" s="9"/>
      <c r="EU201" s="9"/>
      <c r="EV201" s="9"/>
      <c r="EW201" s="9"/>
      <c r="EX201" s="9"/>
      <c r="EY201" s="9"/>
      <c r="EZ201" s="9"/>
      <c r="FA201" s="9"/>
      <c r="FB201" s="9"/>
      <c r="FC201" s="9"/>
      <c r="FD201" s="9"/>
      <c r="FE201" s="9"/>
      <c r="FF201" s="9"/>
      <c r="FG201" s="9"/>
      <c r="FH201" s="9"/>
      <c r="FI201" s="9"/>
    </row>
    <row r="202" spans="1:165" x14ac:dyDescent="0.2">
      <c r="A202" s="1" t="s">
        <v>710</v>
      </c>
      <c r="B202" s="1" t="s">
        <v>711</v>
      </c>
      <c r="C202" s="1" t="s">
        <v>712</v>
      </c>
      <c r="D202" s="1" t="str">
        <f>HYPERLINK("http://eros.fiehnlab.ucdavis.edu:8080/binbase-compound/bin/show/372849?db=rtx5","372849")</f>
        <v>372849</v>
      </c>
      <c r="E202" s="1" t="s">
        <v>713</v>
      </c>
      <c r="F202" s="1" t="s">
        <v>184</v>
      </c>
      <c r="G202" s="1" t="s">
        <v>184</v>
      </c>
      <c r="H202" s="1"/>
      <c r="I202" s="8">
        <v>3004</v>
      </c>
      <c r="J202" s="8">
        <v>3240</v>
      </c>
      <c r="K202" s="8">
        <v>3278</v>
      </c>
      <c r="L202" s="8">
        <v>2769</v>
      </c>
      <c r="M202" s="8">
        <v>2932</v>
      </c>
      <c r="N202" s="8">
        <v>3554</v>
      </c>
      <c r="O202" s="8">
        <v>8398</v>
      </c>
      <c r="P202" s="8">
        <v>9745</v>
      </c>
      <c r="Q202" s="8">
        <v>10098</v>
      </c>
      <c r="R202" s="8">
        <v>9610</v>
      </c>
      <c r="S202" s="8">
        <v>9635</v>
      </c>
      <c r="T202" s="8">
        <v>3900</v>
      </c>
      <c r="U202" s="8">
        <v>4047</v>
      </c>
      <c r="V202" s="8">
        <v>4118</v>
      </c>
      <c r="W202" s="8">
        <v>10840</v>
      </c>
      <c r="X202" s="8">
        <v>4040</v>
      </c>
      <c r="Y202" s="8">
        <v>3628</v>
      </c>
      <c r="Z202" s="8">
        <v>4293</v>
      </c>
      <c r="AA202" s="8">
        <v>4125</v>
      </c>
      <c r="AB202" s="8">
        <v>5292</v>
      </c>
      <c r="AC202" s="8">
        <v>5726</v>
      </c>
      <c r="AD202" s="8">
        <v>5070</v>
      </c>
      <c r="AE202" s="8">
        <v>6118</v>
      </c>
      <c r="AF202" s="8">
        <v>4470</v>
      </c>
      <c r="AG202" s="8">
        <v>9341</v>
      </c>
      <c r="AH202" s="8">
        <v>10247</v>
      </c>
      <c r="AI202" s="8">
        <v>10258</v>
      </c>
      <c r="AJ202" s="8">
        <v>13324</v>
      </c>
      <c r="AK202" s="8">
        <v>9968</v>
      </c>
      <c r="AL202" s="8">
        <v>10100</v>
      </c>
      <c r="AM202" s="8">
        <v>6115</v>
      </c>
      <c r="AN202" s="8">
        <v>5236</v>
      </c>
      <c r="AO202" s="8">
        <v>5063</v>
      </c>
      <c r="AP202" s="8">
        <v>6380</v>
      </c>
      <c r="AQ202" s="8">
        <v>5215</v>
      </c>
      <c r="AR202" s="8">
        <v>4781</v>
      </c>
      <c r="AS202" s="8">
        <v>3969</v>
      </c>
      <c r="AT202" s="8">
        <v>3750</v>
      </c>
      <c r="AU202" s="8">
        <v>3798</v>
      </c>
      <c r="AV202" s="8">
        <v>3578</v>
      </c>
      <c r="AW202" s="8">
        <v>4225</v>
      </c>
      <c r="AX202" s="8">
        <v>3617</v>
      </c>
      <c r="AY202" s="8">
        <v>2716</v>
      </c>
      <c r="AZ202" s="8">
        <v>3735</v>
      </c>
      <c r="BA202" s="8">
        <v>3092</v>
      </c>
      <c r="BB202" s="8">
        <v>2983</v>
      </c>
      <c r="BC202" s="8">
        <v>3223</v>
      </c>
      <c r="BD202" s="8">
        <v>3233</v>
      </c>
      <c r="BE202" s="8">
        <v>11963</v>
      </c>
      <c r="BF202" s="8">
        <v>11776</v>
      </c>
      <c r="BG202" s="8">
        <v>10196</v>
      </c>
      <c r="BH202" s="8">
        <v>9089</v>
      </c>
      <c r="BI202" s="8">
        <v>11346</v>
      </c>
      <c r="BJ202" s="8">
        <v>10652</v>
      </c>
      <c r="BK202" s="8">
        <v>5969</v>
      </c>
      <c r="BL202" s="8">
        <v>5859</v>
      </c>
      <c r="BM202" s="8">
        <v>6918</v>
      </c>
      <c r="BN202" s="8">
        <v>5382</v>
      </c>
      <c r="BO202" s="8">
        <v>6113</v>
      </c>
      <c r="BP202" s="8">
        <v>5774</v>
      </c>
      <c r="BQ202" s="8">
        <v>3963</v>
      </c>
      <c r="BR202" s="8">
        <v>3258</v>
      </c>
      <c r="BS202" s="8">
        <v>3873</v>
      </c>
      <c r="BT202" s="8">
        <v>3314</v>
      </c>
      <c r="BU202" s="8">
        <v>2957</v>
      </c>
      <c r="BV202" s="8">
        <v>3462</v>
      </c>
      <c r="BW202" s="8">
        <v>5754</v>
      </c>
      <c r="BX202" s="8">
        <v>5676</v>
      </c>
      <c r="BY202" s="8">
        <v>5839</v>
      </c>
      <c r="BZ202" s="8">
        <v>5724</v>
      </c>
      <c r="CA202" s="8">
        <v>5948</v>
      </c>
      <c r="CB202" s="8">
        <v>4844</v>
      </c>
      <c r="CC202" s="8">
        <v>7425</v>
      </c>
      <c r="CD202" s="8">
        <v>6795</v>
      </c>
      <c r="CE202" s="8">
        <v>7456</v>
      </c>
      <c r="CF202" s="8">
        <v>6930</v>
      </c>
      <c r="CG202" s="8">
        <v>8355</v>
      </c>
      <c r="CH202" s="8">
        <v>7827</v>
      </c>
      <c r="CJ202" s="9"/>
      <c r="CK202" s="9"/>
      <c r="CL202" s="9"/>
      <c r="CM202" s="9"/>
      <c r="CN202" s="9"/>
      <c r="CO202" s="9"/>
      <c r="CP202" s="9"/>
      <c r="CQ202" s="9"/>
      <c r="CR202" s="9"/>
      <c r="CS202" s="9"/>
      <c r="CT202" s="9"/>
      <c r="CU202" s="9"/>
      <c r="CV202" s="9"/>
      <c r="CW202" s="9"/>
      <c r="CX202" s="9"/>
      <c r="CY202" s="9"/>
      <c r="CZ202" s="9"/>
      <c r="DA202" s="9"/>
      <c r="DB202" s="9"/>
      <c r="DC202" s="9"/>
      <c r="DD202" s="9"/>
      <c r="DE202" s="9"/>
      <c r="DF202" s="9"/>
      <c r="DG202" s="9"/>
      <c r="DH202" s="9"/>
      <c r="DI202" s="9"/>
      <c r="DJ202" s="9"/>
      <c r="DK202" s="9"/>
      <c r="DL202" s="9"/>
      <c r="DM202" s="9"/>
      <c r="DN202" s="9"/>
      <c r="DO202" s="9"/>
      <c r="DP202" s="9"/>
      <c r="DQ202" s="9"/>
      <c r="DR202" s="9"/>
      <c r="DS202" s="9"/>
      <c r="DT202" s="9"/>
      <c r="DU202" s="9"/>
      <c r="DV202" s="9"/>
      <c r="DW202" s="9"/>
      <c r="DX202" s="9"/>
      <c r="DY202" s="9"/>
      <c r="DZ202" s="9"/>
      <c r="EA202" s="9"/>
      <c r="EB202" s="9"/>
      <c r="EC202" s="9"/>
      <c r="ED202" s="9"/>
      <c r="EE202" s="9"/>
      <c r="EF202" s="9"/>
      <c r="EG202" s="9"/>
      <c r="EH202" s="9"/>
      <c r="EI202" s="9"/>
      <c r="EJ202" s="9"/>
      <c r="EK202" s="9"/>
      <c r="EL202" s="9"/>
      <c r="EM202" s="9"/>
      <c r="EN202" s="9"/>
      <c r="EO202" s="9"/>
      <c r="EP202" s="9"/>
      <c r="EQ202" s="9"/>
      <c r="ER202" s="9"/>
      <c r="ES202" s="9"/>
      <c r="ET202" s="9"/>
      <c r="EU202" s="9"/>
      <c r="EV202" s="9"/>
      <c r="EW202" s="9"/>
      <c r="EX202" s="9"/>
      <c r="EY202" s="9"/>
      <c r="EZ202" s="9"/>
      <c r="FA202" s="9"/>
      <c r="FB202" s="9"/>
      <c r="FC202" s="9"/>
      <c r="FD202" s="9"/>
      <c r="FE202" s="9"/>
      <c r="FF202" s="9"/>
      <c r="FG202" s="9"/>
      <c r="FH202" s="9"/>
      <c r="FI202" s="9"/>
    </row>
    <row r="203" spans="1:165" x14ac:dyDescent="0.2">
      <c r="A203" s="1" t="s">
        <v>804</v>
      </c>
      <c r="B203" s="1" t="s">
        <v>805</v>
      </c>
      <c r="C203" s="1" t="s">
        <v>517</v>
      </c>
      <c r="D203" s="1" t="str">
        <f>HYPERLINK("http://eros.fiehnlab.ucdavis.edu:8080/binbase-compound/bin/show/356985?db=rtx5","356985")</f>
        <v>356985</v>
      </c>
      <c r="E203" s="1" t="s">
        <v>806</v>
      </c>
      <c r="F203" s="1" t="s">
        <v>184</v>
      </c>
      <c r="G203" s="1" t="s">
        <v>184</v>
      </c>
      <c r="H203" s="1"/>
      <c r="I203" s="8">
        <v>1832</v>
      </c>
      <c r="J203" s="8">
        <v>2217</v>
      </c>
      <c r="K203" s="8">
        <v>1639</v>
      </c>
      <c r="L203" s="8">
        <v>1333</v>
      </c>
      <c r="M203" s="8">
        <v>1472</v>
      </c>
      <c r="N203" s="8">
        <v>1876</v>
      </c>
      <c r="O203" s="8">
        <v>1752</v>
      </c>
      <c r="P203" s="8">
        <v>2190</v>
      </c>
      <c r="Q203" s="8">
        <v>1096</v>
      </c>
      <c r="R203" s="8">
        <v>1380</v>
      </c>
      <c r="S203" s="8">
        <v>1198</v>
      </c>
      <c r="T203" s="8">
        <v>595</v>
      </c>
      <c r="U203" s="8">
        <v>555</v>
      </c>
      <c r="V203" s="8">
        <v>1835</v>
      </c>
      <c r="W203" s="8">
        <v>1408</v>
      </c>
      <c r="X203" s="8">
        <v>1283</v>
      </c>
      <c r="Y203" s="8">
        <v>1348</v>
      </c>
      <c r="Z203" s="8">
        <v>1076</v>
      </c>
      <c r="AA203" s="8">
        <v>1178</v>
      </c>
      <c r="AB203" s="8">
        <v>1372</v>
      </c>
      <c r="AC203" s="8">
        <v>862</v>
      </c>
      <c r="AD203" s="8">
        <v>883</v>
      </c>
      <c r="AE203" s="8">
        <v>947</v>
      </c>
      <c r="AF203" s="8">
        <v>1247</v>
      </c>
      <c r="AG203" s="8">
        <v>991</v>
      </c>
      <c r="AH203" s="8">
        <v>1451</v>
      </c>
      <c r="AI203" s="8">
        <v>1878</v>
      </c>
      <c r="AJ203" s="8">
        <v>2988</v>
      </c>
      <c r="AK203" s="8">
        <v>1142</v>
      </c>
      <c r="AL203" s="8">
        <v>1494</v>
      </c>
      <c r="AM203" s="8">
        <v>2693</v>
      </c>
      <c r="AN203" s="8">
        <v>1998</v>
      </c>
      <c r="AO203" s="8">
        <v>2820</v>
      </c>
      <c r="AP203" s="8">
        <v>2109</v>
      </c>
      <c r="AQ203" s="8">
        <v>2161</v>
      </c>
      <c r="AR203" s="8">
        <v>1725</v>
      </c>
      <c r="AS203" s="8">
        <v>2182</v>
      </c>
      <c r="AT203" s="8">
        <v>1970</v>
      </c>
      <c r="AU203" s="8">
        <v>1963</v>
      </c>
      <c r="AV203" s="8">
        <v>2397</v>
      </c>
      <c r="AW203" s="8">
        <v>1413</v>
      </c>
      <c r="AX203" s="8">
        <v>1839</v>
      </c>
      <c r="AY203" s="8">
        <v>576</v>
      </c>
      <c r="AZ203" s="8">
        <v>1384</v>
      </c>
      <c r="BA203" s="8">
        <v>641</v>
      </c>
      <c r="BB203" s="8">
        <v>575</v>
      </c>
      <c r="BC203" s="8">
        <v>992</v>
      </c>
      <c r="BD203" s="8">
        <v>691</v>
      </c>
      <c r="BE203" s="8">
        <v>1454</v>
      </c>
      <c r="BF203" s="8">
        <v>1933</v>
      </c>
      <c r="BG203" s="8">
        <v>1343</v>
      </c>
      <c r="BH203" s="8">
        <v>1742</v>
      </c>
      <c r="BI203" s="8">
        <v>1438</v>
      </c>
      <c r="BJ203" s="8">
        <v>1307</v>
      </c>
      <c r="BK203" s="8">
        <v>1218</v>
      </c>
      <c r="BL203" s="8">
        <v>2905</v>
      </c>
      <c r="BM203" s="8">
        <v>2013</v>
      </c>
      <c r="BN203" s="8">
        <v>1740</v>
      </c>
      <c r="BO203" s="8">
        <v>1699</v>
      </c>
      <c r="BP203" s="8">
        <v>1172</v>
      </c>
      <c r="BQ203" s="8">
        <v>1444</v>
      </c>
      <c r="BR203" s="8">
        <v>2564</v>
      </c>
      <c r="BS203" s="8">
        <v>1537</v>
      </c>
      <c r="BT203" s="8">
        <v>1869</v>
      </c>
      <c r="BU203" s="8">
        <v>1826</v>
      </c>
      <c r="BV203" s="8">
        <v>1663</v>
      </c>
      <c r="BW203" s="8">
        <v>615</v>
      </c>
      <c r="BX203" s="8">
        <v>711</v>
      </c>
      <c r="BY203" s="8">
        <v>1074</v>
      </c>
      <c r="BZ203" s="8">
        <v>941</v>
      </c>
      <c r="CA203" s="8">
        <v>722</v>
      </c>
      <c r="CB203" s="8">
        <v>1168</v>
      </c>
      <c r="CC203" s="8">
        <v>1055</v>
      </c>
      <c r="CD203" s="8">
        <v>1727</v>
      </c>
      <c r="CE203" s="8">
        <v>1829</v>
      </c>
      <c r="CF203" s="8">
        <v>1778</v>
      </c>
      <c r="CG203" s="8">
        <v>1593</v>
      </c>
      <c r="CH203" s="8">
        <v>1574</v>
      </c>
      <c r="CJ203" s="9"/>
      <c r="CK203" s="9"/>
      <c r="CL203" s="9"/>
      <c r="CM203" s="9"/>
      <c r="CN203" s="9"/>
      <c r="CO203" s="9"/>
      <c r="CP203" s="9"/>
      <c r="CQ203" s="9"/>
      <c r="CR203" s="9"/>
      <c r="CS203" s="9"/>
      <c r="CT203" s="9"/>
      <c r="CU203" s="9"/>
      <c r="CV203" s="9"/>
      <c r="CW203" s="9"/>
      <c r="CX203" s="9"/>
      <c r="CY203" s="9"/>
      <c r="CZ203" s="9"/>
      <c r="DA203" s="9"/>
      <c r="DB203" s="9"/>
      <c r="DC203" s="9"/>
      <c r="DD203" s="9"/>
      <c r="DE203" s="9"/>
      <c r="DF203" s="9"/>
      <c r="DG203" s="9"/>
      <c r="DH203" s="9"/>
      <c r="DI203" s="9"/>
      <c r="DJ203" s="9"/>
      <c r="DK203" s="9"/>
      <c r="DL203" s="9"/>
      <c r="DM203" s="9"/>
      <c r="DN203" s="9"/>
      <c r="DO203" s="9"/>
      <c r="DP203" s="9"/>
      <c r="DQ203" s="9"/>
      <c r="DR203" s="9"/>
      <c r="DS203" s="9"/>
      <c r="DT203" s="9"/>
      <c r="DU203" s="9"/>
      <c r="DV203" s="9"/>
      <c r="DW203" s="9"/>
      <c r="DX203" s="9"/>
      <c r="DY203" s="9"/>
      <c r="DZ203" s="9"/>
      <c r="EA203" s="9"/>
      <c r="EB203" s="9"/>
      <c r="EC203" s="9"/>
      <c r="ED203" s="9"/>
      <c r="EE203" s="9"/>
      <c r="EF203" s="9"/>
      <c r="EG203" s="9"/>
      <c r="EH203" s="9"/>
      <c r="EI203" s="9"/>
      <c r="EJ203" s="9"/>
      <c r="EK203" s="9"/>
      <c r="EL203" s="9"/>
      <c r="EM203" s="9"/>
      <c r="EN203" s="9"/>
      <c r="EO203" s="9"/>
      <c r="EP203" s="9"/>
      <c r="EQ203" s="9"/>
      <c r="ER203" s="9"/>
      <c r="ES203" s="9"/>
      <c r="ET203" s="9"/>
      <c r="EU203" s="9"/>
      <c r="EV203" s="9"/>
      <c r="EW203" s="9"/>
      <c r="EX203" s="9"/>
      <c r="EY203" s="9"/>
      <c r="EZ203" s="9"/>
      <c r="FA203" s="9"/>
      <c r="FB203" s="9"/>
      <c r="FC203" s="9"/>
      <c r="FD203" s="9"/>
      <c r="FE203" s="9"/>
      <c r="FF203" s="9"/>
      <c r="FG203" s="9"/>
      <c r="FH203" s="9"/>
      <c r="FI203" s="9"/>
    </row>
    <row r="204" spans="1:165" x14ac:dyDescent="0.2">
      <c r="A204" s="1" t="s">
        <v>1084</v>
      </c>
      <c r="B204" s="1" t="s">
        <v>1085</v>
      </c>
      <c r="C204" s="1" t="s">
        <v>639</v>
      </c>
      <c r="D204" s="1" t="str">
        <f>HYPERLINK("http://eros.fiehnlab.ucdavis.edu:8080/binbase-compound/bin/show/238291?db=rtx5","238291")</f>
        <v>238291</v>
      </c>
      <c r="E204" s="1" t="s">
        <v>1086</v>
      </c>
      <c r="F204" s="1" t="s">
        <v>184</v>
      </c>
      <c r="G204" s="1" t="s">
        <v>184</v>
      </c>
      <c r="H204" s="1"/>
      <c r="I204" s="8">
        <v>1320</v>
      </c>
      <c r="J204" s="8">
        <v>1466</v>
      </c>
      <c r="K204" s="8">
        <v>1206</v>
      </c>
      <c r="L204" s="8">
        <v>1156</v>
      </c>
      <c r="M204" s="8">
        <v>1120</v>
      </c>
      <c r="N204" s="8">
        <v>1345</v>
      </c>
      <c r="O204" s="8">
        <v>1488</v>
      </c>
      <c r="P204" s="8">
        <v>1891</v>
      </c>
      <c r="Q204" s="8">
        <v>1325</v>
      </c>
      <c r="R204" s="8">
        <v>1364</v>
      </c>
      <c r="S204" s="8">
        <v>1849</v>
      </c>
      <c r="T204" s="8">
        <v>951</v>
      </c>
      <c r="U204" s="8">
        <v>1078</v>
      </c>
      <c r="V204" s="8">
        <v>913</v>
      </c>
      <c r="W204" s="8">
        <v>531</v>
      </c>
      <c r="X204" s="8">
        <v>1312</v>
      </c>
      <c r="Y204" s="8">
        <v>1041</v>
      </c>
      <c r="Z204" s="8">
        <v>1209</v>
      </c>
      <c r="AA204" s="8">
        <v>966</v>
      </c>
      <c r="AB204" s="8">
        <v>1986</v>
      </c>
      <c r="AC204" s="8">
        <v>2354</v>
      </c>
      <c r="AD204" s="8">
        <v>1676</v>
      </c>
      <c r="AE204" s="8">
        <v>1863</v>
      </c>
      <c r="AF204" s="8">
        <v>1458</v>
      </c>
      <c r="AG204" s="8">
        <v>635</v>
      </c>
      <c r="AH204" s="8">
        <v>483</v>
      </c>
      <c r="AI204" s="8">
        <v>546</v>
      </c>
      <c r="AJ204" s="8">
        <v>890</v>
      </c>
      <c r="AK204" s="8">
        <v>648</v>
      </c>
      <c r="AL204" s="8">
        <v>1493</v>
      </c>
      <c r="AM204" s="8">
        <v>2396</v>
      </c>
      <c r="AN204" s="8">
        <v>1799</v>
      </c>
      <c r="AO204" s="8">
        <v>2470</v>
      </c>
      <c r="AP204" s="8">
        <v>2198</v>
      </c>
      <c r="AQ204" s="8">
        <v>1771</v>
      </c>
      <c r="AR204" s="8">
        <v>1421</v>
      </c>
      <c r="AS204" s="8">
        <v>1358</v>
      </c>
      <c r="AT204" s="8">
        <v>1982</v>
      </c>
      <c r="AU204" s="8">
        <v>1530</v>
      </c>
      <c r="AV204" s="8">
        <v>1412</v>
      </c>
      <c r="AW204" s="8">
        <v>1513</v>
      </c>
      <c r="AX204" s="8">
        <v>1524</v>
      </c>
      <c r="AY204" s="8">
        <v>2316</v>
      </c>
      <c r="AZ204" s="8">
        <v>2384</v>
      </c>
      <c r="BA204" s="8">
        <v>2133</v>
      </c>
      <c r="BB204" s="8">
        <v>2096</v>
      </c>
      <c r="BC204" s="8">
        <v>1894</v>
      </c>
      <c r="BD204" s="8">
        <v>2267</v>
      </c>
      <c r="BE204" s="8">
        <v>611</v>
      </c>
      <c r="BF204" s="8">
        <v>494</v>
      </c>
      <c r="BG204" s="8">
        <v>790</v>
      </c>
      <c r="BH204" s="8">
        <v>625</v>
      </c>
      <c r="BI204" s="8">
        <v>513</v>
      </c>
      <c r="BJ204" s="8">
        <v>539</v>
      </c>
      <c r="BK204" s="8">
        <v>1946</v>
      </c>
      <c r="BL204" s="8">
        <v>1397</v>
      </c>
      <c r="BM204" s="8">
        <v>1758</v>
      </c>
      <c r="BN204" s="8">
        <v>1429</v>
      </c>
      <c r="BO204" s="8">
        <v>1309</v>
      </c>
      <c r="BP204" s="8">
        <v>1376</v>
      </c>
      <c r="BQ204" s="8">
        <v>770</v>
      </c>
      <c r="BR204" s="8">
        <v>969</v>
      </c>
      <c r="BS204" s="8">
        <v>1386</v>
      </c>
      <c r="BT204" s="8">
        <v>838</v>
      </c>
      <c r="BU204" s="8">
        <v>959</v>
      </c>
      <c r="BV204" s="8">
        <v>1118</v>
      </c>
      <c r="BW204" s="8">
        <v>1643</v>
      </c>
      <c r="BX204" s="8">
        <v>1887</v>
      </c>
      <c r="BY204" s="8">
        <v>1686</v>
      </c>
      <c r="BZ204" s="8">
        <v>1495</v>
      </c>
      <c r="CA204" s="8">
        <v>1694</v>
      </c>
      <c r="CB204" s="8">
        <v>1377</v>
      </c>
      <c r="CC204" s="8">
        <v>695</v>
      </c>
      <c r="CD204" s="8">
        <v>613</v>
      </c>
      <c r="CE204" s="8">
        <v>813</v>
      </c>
      <c r="CF204" s="8">
        <v>562</v>
      </c>
      <c r="CG204" s="8">
        <v>690</v>
      </c>
      <c r="CH204" s="8">
        <v>557</v>
      </c>
      <c r="CJ204" s="9"/>
      <c r="CK204" s="9"/>
      <c r="CL204" s="9"/>
      <c r="CM204" s="9"/>
      <c r="CN204" s="9"/>
      <c r="CO204" s="9"/>
      <c r="CP204" s="9"/>
      <c r="CQ204" s="9"/>
      <c r="CR204" s="9"/>
      <c r="CS204" s="9"/>
      <c r="CT204" s="9"/>
      <c r="CU204" s="9"/>
      <c r="CV204" s="9"/>
      <c r="CW204" s="9"/>
      <c r="CX204" s="9"/>
      <c r="CY204" s="9"/>
      <c r="CZ204" s="9"/>
      <c r="DA204" s="9"/>
      <c r="DB204" s="9"/>
      <c r="DC204" s="9"/>
      <c r="DD204" s="9"/>
      <c r="DE204" s="9"/>
      <c r="DF204" s="9"/>
      <c r="DG204" s="9"/>
      <c r="DH204" s="9"/>
      <c r="DI204" s="9"/>
      <c r="DJ204" s="9"/>
      <c r="DK204" s="9"/>
      <c r="DL204" s="9"/>
      <c r="DM204" s="9"/>
      <c r="DN204" s="9"/>
      <c r="DO204" s="9"/>
      <c r="DP204" s="9"/>
      <c r="DQ204" s="9"/>
      <c r="DR204" s="9"/>
      <c r="DS204" s="9"/>
      <c r="DT204" s="9"/>
      <c r="DU204" s="9"/>
      <c r="DV204" s="9"/>
      <c r="DW204" s="9"/>
      <c r="DX204" s="9"/>
      <c r="DY204" s="9"/>
      <c r="DZ204" s="9"/>
      <c r="EA204" s="9"/>
      <c r="EB204" s="9"/>
      <c r="EC204" s="9"/>
      <c r="ED204" s="9"/>
      <c r="EE204" s="9"/>
      <c r="EF204" s="9"/>
      <c r="EG204" s="9"/>
      <c r="EH204" s="9"/>
      <c r="EI204" s="9"/>
      <c r="EJ204" s="9"/>
      <c r="EK204" s="9"/>
      <c r="EL204" s="9"/>
      <c r="EM204" s="9"/>
      <c r="EN204" s="9"/>
      <c r="EO204" s="9"/>
      <c r="EP204" s="9"/>
      <c r="EQ204" s="9"/>
      <c r="ER204" s="9"/>
      <c r="ES204" s="9"/>
      <c r="ET204" s="9"/>
      <c r="EU204" s="9"/>
      <c r="EV204" s="9"/>
      <c r="EW204" s="9"/>
      <c r="EX204" s="9"/>
      <c r="EY204" s="9"/>
      <c r="EZ204" s="9"/>
      <c r="FA204" s="9"/>
      <c r="FB204" s="9"/>
      <c r="FC204" s="9"/>
      <c r="FD204" s="9"/>
      <c r="FE204" s="9"/>
      <c r="FF204" s="9"/>
      <c r="FG204" s="9"/>
      <c r="FH204" s="9"/>
      <c r="FI204" s="9"/>
    </row>
    <row r="205" spans="1:165" x14ac:dyDescent="0.2">
      <c r="A205" s="1" t="s">
        <v>901</v>
      </c>
      <c r="B205" s="1" t="s">
        <v>902</v>
      </c>
      <c r="C205" s="1" t="s">
        <v>848</v>
      </c>
      <c r="D205" s="1" t="str">
        <f>HYPERLINK("http://eros.fiehnlab.ucdavis.edu:8080/binbase-compound/bin/show/300153?db=rtx5","300153")</f>
        <v>300153</v>
      </c>
      <c r="E205" s="1" t="s">
        <v>903</v>
      </c>
      <c r="F205" s="1" t="s">
        <v>184</v>
      </c>
      <c r="G205" s="1" t="s">
        <v>184</v>
      </c>
      <c r="H205" s="1"/>
      <c r="I205" s="8">
        <v>1396</v>
      </c>
      <c r="J205" s="8">
        <v>1007</v>
      </c>
      <c r="K205" s="8">
        <v>1044</v>
      </c>
      <c r="L205" s="8">
        <v>1045</v>
      </c>
      <c r="M205" s="8">
        <v>1131</v>
      </c>
      <c r="N205" s="8">
        <v>1349</v>
      </c>
      <c r="O205" s="8">
        <v>877</v>
      </c>
      <c r="P205" s="8">
        <v>1149</v>
      </c>
      <c r="Q205" s="8">
        <v>1326</v>
      </c>
      <c r="R205" s="8">
        <v>1050</v>
      </c>
      <c r="S205" s="8">
        <v>1267</v>
      </c>
      <c r="T205" s="8">
        <v>899</v>
      </c>
      <c r="U205" s="8">
        <v>726</v>
      </c>
      <c r="V205" s="8">
        <v>795</v>
      </c>
      <c r="W205" s="8">
        <v>975</v>
      </c>
      <c r="X205" s="8">
        <v>1517</v>
      </c>
      <c r="Y205" s="8">
        <v>780</v>
      </c>
      <c r="Z205" s="8">
        <v>1085</v>
      </c>
      <c r="AA205" s="8">
        <v>732</v>
      </c>
      <c r="AB205" s="8">
        <v>943</v>
      </c>
      <c r="AC205" s="8">
        <v>1064</v>
      </c>
      <c r="AD205" s="8">
        <v>1158</v>
      </c>
      <c r="AE205" s="8">
        <v>1498</v>
      </c>
      <c r="AF205" s="8">
        <v>781</v>
      </c>
      <c r="AG205" s="8">
        <v>802</v>
      </c>
      <c r="AH205" s="8">
        <v>814</v>
      </c>
      <c r="AI205" s="8">
        <v>828</v>
      </c>
      <c r="AJ205" s="8">
        <v>1715</v>
      </c>
      <c r="AK205" s="8">
        <v>1065</v>
      </c>
      <c r="AL205" s="8">
        <v>1298</v>
      </c>
      <c r="AM205" s="8">
        <v>1243</v>
      </c>
      <c r="AN205" s="8">
        <v>937</v>
      </c>
      <c r="AO205" s="8">
        <v>1263</v>
      </c>
      <c r="AP205" s="8">
        <v>1737</v>
      </c>
      <c r="AQ205" s="8">
        <v>1390</v>
      </c>
      <c r="AR205" s="8">
        <v>889</v>
      </c>
      <c r="AS205" s="8">
        <v>1012</v>
      </c>
      <c r="AT205" s="8">
        <v>1210</v>
      </c>
      <c r="AU205" s="8">
        <v>819</v>
      </c>
      <c r="AV205" s="8">
        <v>835</v>
      </c>
      <c r="AW205" s="8">
        <v>1362</v>
      </c>
      <c r="AX205" s="8">
        <v>844</v>
      </c>
      <c r="AY205" s="8">
        <v>1633</v>
      </c>
      <c r="AZ205" s="8">
        <v>1127</v>
      </c>
      <c r="BA205" s="8">
        <v>1303</v>
      </c>
      <c r="BB205" s="8">
        <v>1569</v>
      </c>
      <c r="BC205" s="8">
        <v>1712</v>
      </c>
      <c r="BD205" s="8">
        <v>1110</v>
      </c>
      <c r="BE205" s="8">
        <v>900</v>
      </c>
      <c r="BF205" s="8">
        <v>858</v>
      </c>
      <c r="BG205" s="8">
        <v>825</v>
      </c>
      <c r="BH205" s="8">
        <v>611</v>
      </c>
      <c r="BI205" s="8">
        <v>1112</v>
      </c>
      <c r="BJ205" s="8">
        <v>996</v>
      </c>
      <c r="BK205" s="8">
        <v>1308</v>
      </c>
      <c r="BL205" s="8">
        <v>1127</v>
      </c>
      <c r="BM205" s="8">
        <v>1502</v>
      </c>
      <c r="BN205" s="8">
        <v>982</v>
      </c>
      <c r="BO205" s="8">
        <v>1207</v>
      </c>
      <c r="BP205" s="8">
        <v>1533</v>
      </c>
      <c r="BQ205" s="8">
        <v>942</v>
      </c>
      <c r="BR205" s="8">
        <v>808</v>
      </c>
      <c r="BS205" s="8">
        <v>793</v>
      </c>
      <c r="BT205" s="8">
        <v>1217</v>
      </c>
      <c r="BU205" s="8">
        <v>962</v>
      </c>
      <c r="BV205" s="8">
        <v>1137</v>
      </c>
      <c r="BW205" s="8">
        <v>1164</v>
      </c>
      <c r="BX205" s="8">
        <v>1211</v>
      </c>
      <c r="BY205" s="8">
        <v>816</v>
      </c>
      <c r="BZ205" s="8">
        <v>1316</v>
      </c>
      <c r="CA205" s="8">
        <v>1266</v>
      </c>
      <c r="CB205" s="8">
        <v>1111</v>
      </c>
      <c r="CC205" s="8">
        <v>801</v>
      </c>
      <c r="CD205" s="8">
        <v>693</v>
      </c>
      <c r="CE205" s="8">
        <v>960</v>
      </c>
      <c r="CF205" s="8">
        <v>531</v>
      </c>
      <c r="CG205" s="8">
        <v>1113</v>
      </c>
      <c r="CH205" s="8">
        <v>1357</v>
      </c>
      <c r="CJ205" s="9"/>
      <c r="CK205" s="9"/>
      <c r="CL205" s="9"/>
      <c r="CM205" s="9"/>
      <c r="CN205" s="9"/>
      <c r="CO205" s="9"/>
      <c r="CP205" s="9"/>
      <c r="CQ205" s="9"/>
      <c r="CR205" s="9"/>
      <c r="CS205" s="9"/>
      <c r="CT205" s="9"/>
      <c r="CU205" s="9"/>
      <c r="CV205" s="9"/>
      <c r="CW205" s="9"/>
      <c r="CX205" s="9"/>
      <c r="CY205" s="9"/>
      <c r="CZ205" s="9"/>
      <c r="DA205" s="9"/>
      <c r="DB205" s="9"/>
      <c r="DC205" s="9"/>
      <c r="DD205" s="9"/>
      <c r="DE205" s="9"/>
      <c r="DF205" s="9"/>
      <c r="DG205" s="9"/>
      <c r="DH205" s="9"/>
      <c r="DI205" s="9"/>
      <c r="DJ205" s="9"/>
      <c r="DK205" s="9"/>
      <c r="DL205" s="9"/>
      <c r="DM205" s="9"/>
      <c r="DN205" s="9"/>
      <c r="DO205" s="9"/>
      <c r="DP205" s="9"/>
      <c r="DQ205" s="9"/>
      <c r="DR205" s="9"/>
      <c r="DS205" s="9"/>
      <c r="DT205" s="9"/>
      <c r="DU205" s="9"/>
      <c r="DV205" s="9"/>
      <c r="DW205" s="9"/>
      <c r="DX205" s="9"/>
      <c r="DY205" s="9"/>
      <c r="DZ205" s="9"/>
      <c r="EA205" s="9"/>
      <c r="EB205" s="9"/>
      <c r="EC205" s="9"/>
      <c r="ED205" s="9"/>
      <c r="EE205" s="9"/>
      <c r="EF205" s="9"/>
      <c r="EG205" s="9"/>
      <c r="EH205" s="9"/>
      <c r="EI205" s="9"/>
      <c r="EJ205" s="9"/>
      <c r="EK205" s="9"/>
      <c r="EL205" s="9"/>
      <c r="EM205" s="9"/>
      <c r="EN205" s="9"/>
      <c r="EO205" s="9"/>
      <c r="EP205" s="9"/>
      <c r="EQ205" s="9"/>
      <c r="ER205" s="9"/>
      <c r="ES205" s="9"/>
      <c r="ET205" s="9"/>
      <c r="EU205" s="9"/>
      <c r="EV205" s="9"/>
      <c r="EW205" s="9"/>
      <c r="EX205" s="9"/>
      <c r="EY205" s="9"/>
      <c r="EZ205" s="9"/>
      <c r="FA205" s="9"/>
      <c r="FB205" s="9"/>
      <c r="FC205" s="9"/>
      <c r="FD205" s="9"/>
      <c r="FE205" s="9"/>
      <c r="FF205" s="9"/>
      <c r="FG205" s="9"/>
      <c r="FH205" s="9"/>
      <c r="FI205" s="9"/>
    </row>
    <row r="206" spans="1:165" x14ac:dyDescent="0.2">
      <c r="A206" s="1" t="s">
        <v>765</v>
      </c>
      <c r="B206" s="1" t="s">
        <v>766</v>
      </c>
      <c r="C206" s="1" t="s">
        <v>528</v>
      </c>
      <c r="D206" s="1" t="str">
        <f>HYPERLINK("http://eros.fiehnlab.ucdavis.edu:8080/binbase-compound/bin/show/367910?db=rtx5","367910")</f>
        <v>367910</v>
      </c>
      <c r="E206" s="1" t="s">
        <v>767</v>
      </c>
      <c r="F206" s="1" t="s">
        <v>184</v>
      </c>
      <c r="G206" s="1" t="s">
        <v>184</v>
      </c>
      <c r="H206" s="1"/>
      <c r="I206" s="8">
        <v>5219</v>
      </c>
      <c r="J206" s="8">
        <v>3653</v>
      </c>
      <c r="K206" s="8">
        <v>3415</v>
      </c>
      <c r="L206" s="8">
        <v>4526</v>
      </c>
      <c r="M206" s="8">
        <v>4255</v>
      </c>
      <c r="N206" s="8">
        <v>4094</v>
      </c>
      <c r="O206" s="8">
        <v>5953</v>
      </c>
      <c r="P206" s="8">
        <v>6346</v>
      </c>
      <c r="Q206" s="8">
        <v>5968</v>
      </c>
      <c r="R206" s="8">
        <v>6183</v>
      </c>
      <c r="S206" s="8">
        <v>5684</v>
      </c>
      <c r="T206" s="8">
        <v>4734</v>
      </c>
      <c r="U206" s="8">
        <v>4790</v>
      </c>
      <c r="V206" s="8">
        <v>4413</v>
      </c>
      <c r="W206" s="8">
        <v>5009</v>
      </c>
      <c r="X206" s="8">
        <v>5663</v>
      </c>
      <c r="Y206" s="8">
        <v>5016</v>
      </c>
      <c r="Z206" s="8">
        <v>5191</v>
      </c>
      <c r="AA206" s="8">
        <v>7532</v>
      </c>
      <c r="AB206" s="8">
        <v>5609</v>
      </c>
      <c r="AC206" s="8">
        <v>5593</v>
      </c>
      <c r="AD206" s="8">
        <v>6451</v>
      </c>
      <c r="AE206" s="8">
        <v>6334</v>
      </c>
      <c r="AF206" s="8">
        <v>8847</v>
      </c>
      <c r="AG206" s="8">
        <v>5173</v>
      </c>
      <c r="AH206" s="8">
        <v>4377</v>
      </c>
      <c r="AI206" s="8">
        <v>4751</v>
      </c>
      <c r="AJ206" s="8">
        <v>4967</v>
      </c>
      <c r="AK206" s="8">
        <v>5009</v>
      </c>
      <c r="AL206" s="8">
        <v>5539</v>
      </c>
      <c r="AM206" s="8">
        <v>5928</v>
      </c>
      <c r="AN206" s="8">
        <v>7370</v>
      </c>
      <c r="AO206" s="8">
        <v>6039</v>
      </c>
      <c r="AP206" s="8">
        <v>6432</v>
      </c>
      <c r="AQ206" s="8">
        <v>7183</v>
      </c>
      <c r="AR206" s="8">
        <v>7463</v>
      </c>
      <c r="AS206" s="8">
        <v>5014</v>
      </c>
      <c r="AT206" s="8">
        <v>5246</v>
      </c>
      <c r="AU206" s="8">
        <v>5116</v>
      </c>
      <c r="AV206" s="8">
        <v>4987</v>
      </c>
      <c r="AW206" s="8">
        <v>4787</v>
      </c>
      <c r="AX206" s="8">
        <v>4902</v>
      </c>
      <c r="AY206" s="8">
        <v>7268</v>
      </c>
      <c r="AZ206" s="8">
        <v>9256</v>
      </c>
      <c r="BA206" s="8">
        <v>7894</v>
      </c>
      <c r="BB206" s="8">
        <v>7657</v>
      </c>
      <c r="BC206" s="8">
        <v>7778</v>
      </c>
      <c r="BD206" s="8">
        <v>7477</v>
      </c>
      <c r="BE206" s="8">
        <v>5212</v>
      </c>
      <c r="BF206" s="8">
        <v>5224</v>
      </c>
      <c r="BG206" s="8">
        <v>5493</v>
      </c>
      <c r="BH206" s="8">
        <v>6242</v>
      </c>
      <c r="BI206" s="8">
        <v>5777</v>
      </c>
      <c r="BJ206" s="8">
        <v>5374</v>
      </c>
      <c r="BK206" s="8">
        <v>5900</v>
      </c>
      <c r="BL206" s="8">
        <v>4772</v>
      </c>
      <c r="BM206" s="8">
        <v>5251</v>
      </c>
      <c r="BN206" s="8">
        <v>8570</v>
      </c>
      <c r="BO206" s="8">
        <v>5568</v>
      </c>
      <c r="BP206" s="8">
        <v>5148</v>
      </c>
      <c r="BQ206" s="8">
        <v>5124</v>
      </c>
      <c r="BR206" s="8">
        <v>5304</v>
      </c>
      <c r="BS206" s="8">
        <v>4951</v>
      </c>
      <c r="BT206" s="8">
        <v>4199</v>
      </c>
      <c r="BU206" s="8">
        <v>5494</v>
      </c>
      <c r="BV206" s="8">
        <v>4484</v>
      </c>
      <c r="BW206" s="8">
        <v>6085</v>
      </c>
      <c r="BX206" s="8">
        <v>6306</v>
      </c>
      <c r="BY206" s="8">
        <v>5432</v>
      </c>
      <c r="BZ206" s="8">
        <v>6429</v>
      </c>
      <c r="CA206" s="8">
        <v>6073</v>
      </c>
      <c r="CB206" s="8">
        <v>8307</v>
      </c>
      <c r="CC206" s="8">
        <v>5807</v>
      </c>
      <c r="CD206" s="8">
        <v>24229</v>
      </c>
      <c r="CE206" s="8">
        <v>5111</v>
      </c>
      <c r="CF206" s="8">
        <v>4954</v>
      </c>
      <c r="CG206" s="8">
        <v>4351</v>
      </c>
      <c r="CH206" s="8">
        <v>4730</v>
      </c>
      <c r="CJ206" s="9"/>
      <c r="CK206" s="9"/>
      <c r="CL206" s="9"/>
      <c r="CM206" s="9"/>
      <c r="CN206" s="9"/>
      <c r="CO206" s="9"/>
      <c r="CP206" s="9"/>
      <c r="CQ206" s="9"/>
      <c r="CR206" s="9"/>
      <c r="CS206" s="9"/>
      <c r="CT206" s="9"/>
      <c r="CU206" s="9"/>
      <c r="CV206" s="9"/>
      <c r="CW206" s="9"/>
      <c r="CX206" s="9"/>
      <c r="CY206" s="9"/>
      <c r="CZ206" s="9"/>
      <c r="DA206" s="9"/>
      <c r="DB206" s="9"/>
      <c r="DC206" s="9"/>
      <c r="DD206" s="9"/>
      <c r="DE206" s="9"/>
      <c r="DF206" s="9"/>
      <c r="DG206" s="9"/>
      <c r="DH206" s="9"/>
      <c r="DI206" s="9"/>
      <c r="DJ206" s="9"/>
      <c r="DK206" s="9"/>
      <c r="DL206" s="9"/>
      <c r="DM206" s="9"/>
      <c r="DN206" s="9"/>
      <c r="DO206" s="9"/>
      <c r="DP206" s="9"/>
      <c r="DQ206" s="9"/>
      <c r="DR206" s="9"/>
      <c r="DS206" s="9"/>
      <c r="DT206" s="9"/>
      <c r="DU206" s="9"/>
      <c r="DV206" s="9"/>
      <c r="DW206" s="9"/>
      <c r="DX206" s="9"/>
      <c r="DY206" s="9"/>
      <c r="DZ206" s="9"/>
      <c r="EA206" s="9"/>
      <c r="EB206" s="9"/>
      <c r="EC206" s="9"/>
      <c r="ED206" s="9"/>
      <c r="EE206" s="9"/>
      <c r="EF206" s="9"/>
      <c r="EG206" s="9"/>
      <c r="EH206" s="9"/>
      <c r="EI206" s="9"/>
      <c r="EJ206" s="9"/>
      <c r="EK206" s="9"/>
      <c r="EL206" s="9"/>
      <c r="EM206" s="9"/>
      <c r="EN206" s="9"/>
      <c r="EO206" s="9"/>
      <c r="EP206" s="9"/>
      <c r="EQ206" s="9"/>
      <c r="ER206" s="9"/>
      <c r="ES206" s="9"/>
      <c r="ET206" s="9"/>
      <c r="EU206" s="9"/>
      <c r="EV206" s="9"/>
      <c r="EW206" s="9"/>
      <c r="EX206" s="9"/>
      <c r="EY206" s="9"/>
      <c r="EZ206" s="9"/>
      <c r="FA206" s="9"/>
      <c r="FB206" s="9"/>
      <c r="FC206" s="9"/>
      <c r="FD206" s="9"/>
      <c r="FE206" s="9"/>
      <c r="FF206" s="9"/>
      <c r="FG206" s="9"/>
      <c r="FH206" s="9"/>
      <c r="FI206" s="9"/>
    </row>
    <row r="207" spans="1:165" x14ac:dyDescent="0.2">
      <c r="A207" s="1" t="s">
        <v>964</v>
      </c>
      <c r="B207" s="1" t="s">
        <v>965</v>
      </c>
      <c r="C207" s="1" t="s">
        <v>534</v>
      </c>
      <c r="D207" s="1" t="str">
        <f>HYPERLINK("http://eros.fiehnlab.ucdavis.edu:8080/binbase-compound/bin/show/281926?db=rtx5","281926")</f>
        <v>281926</v>
      </c>
      <c r="E207" s="1" t="s">
        <v>966</v>
      </c>
      <c r="F207" s="1" t="s">
        <v>184</v>
      </c>
      <c r="G207" s="1" t="s">
        <v>184</v>
      </c>
      <c r="H207" s="1"/>
      <c r="I207" s="8">
        <v>712</v>
      </c>
      <c r="J207" s="8">
        <v>596</v>
      </c>
      <c r="K207" s="8">
        <v>563</v>
      </c>
      <c r="L207" s="8">
        <v>297</v>
      </c>
      <c r="M207" s="8">
        <v>423</v>
      </c>
      <c r="N207" s="8">
        <v>495</v>
      </c>
      <c r="O207" s="8">
        <v>472</v>
      </c>
      <c r="P207" s="8">
        <v>607</v>
      </c>
      <c r="Q207" s="8">
        <v>269</v>
      </c>
      <c r="R207" s="8">
        <v>285</v>
      </c>
      <c r="S207" s="8">
        <v>353</v>
      </c>
      <c r="T207" s="8">
        <v>101</v>
      </c>
      <c r="U207" s="8">
        <v>503</v>
      </c>
      <c r="V207" s="8">
        <v>593</v>
      </c>
      <c r="W207" s="8">
        <v>418</v>
      </c>
      <c r="X207" s="8">
        <v>312</v>
      </c>
      <c r="Y207" s="8">
        <v>200</v>
      </c>
      <c r="Z207" s="8">
        <v>113</v>
      </c>
      <c r="AA207" s="8">
        <v>369</v>
      </c>
      <c r="AB207" s="8">
        <v>474</v>
      </c>
      <c r="AC207" s="8">
        <v>461</v>
      </c>
      <c r="AD207" s="8">
        <v>154</v>
      </c>
      <c r="AE207" s="8">
        <v>378</v>
      </c>
      <c r="AF207" s="8">
        <v>219</v>
      </c>
      <c r="AG207" s="8">
        <v>526</v>
      </c>
      <c r="AH207" s="8">
        <v>436</v>
      </c>
      <c r="AI207" s="8">
        <v>422</v>
      </c>
      <c r="AJ207" s="8">
        <v>347</v>
      </c>
      <c r="AK207" s="8">
        <v>202</v>
      </c>
      <c r="AL207" s="8">
        <v>238</v>
      </c>
      <c r="AM207" s="8">
        <v>877</v>
      </c>
      <c r="AN207" s="8">
        <v>466</v>
      </c>
      <c r="AO207" s="8">
        <v>620</v>
      </c>
      <c r="AP207" s="8">
        <v>320</v>
      </c>
      <c r="AQ207" s="8">
        <v>115</v>
      </c>
      <c r="AR207" s="8">
        <v>198</v>
      </c>
      <c r="AS207" s="8">
        <v>507</v>
      </c>
      <c r="AT207" s="8">
        <v>430</v>
      </c>
      <c r="AU207" s="8">
        <v>564</v>
      </c>
      <c r="AV207" s="8">
        <v>472</v>
      </c>
      <c r="AW207" s="8">
        <v>462</v>
      </c>
      <c r="AX207" s="8">
        <v>300</v>
      </c>
      <c r="AY207" s="8">
        <v>355</v>
      </c>
      <c r="AZ207" s="8">
        <v>383</v>
      </c>
      <c r="BA207" s="8">
        <v>230</v>
      </c>
      <c r="BB207" s="8">
        <v>351</v>
      </c>
      <c r="BC207" s="8">
        <v>317</v>
      </c>
      <c r="BD207" s="8">
        <v>482</v>
      </c>
      <c r="BE207" s="8">
        <v>595</v>
      </c>
      <c r="BF207" s="8">
        <v>429</v>
      </c>
      <c r="BG207" s="8">
        <v>578</v>
      </c>
      <c r="BH207" s="8">
        <v>554</v>
      </c>
      <c r="BI207" s="8">
        <v>255</v>
      </c>
      <c r="BJ207" s="8">
        <v>153</v>
      </c>
      <c r="BK207" s="8">
        <v>312</v>
      </c>
      <c r="BL207" s="8">
        <v>467</v>
      </c>
      <c r="BM207" s="8">
        <v>577</v>
      </c>
      <c r="BN207" s="8">
        <v>384</v>
      </c>
      <c r="BO207" s="8">
        <v>560</v>
      </c>
      <c r="BP207" s="8">
        <v>318</v>
      </c>
      <c r="BQ207" s="8">
        <v>432</v>
      </c>
      <c r="BR207" s="8">
        <v>486</v>
      </c>
      <c r="BS207" s="8">
        <v>501</v>
      </c>
      <c r="BT207" s="8">
        <v>369</v>
      </c>
      <c r="BU207" s="8">
        <v>151</v>
      </c>
      <c r="BV207" s="8">
        <v>269</v>
      </c>
      <c r="BW207" s="8">
        <v>468</v>
      </c>
      <c r="BX207" s="8">
        <v>249</v>
      </c>
      <c r="BY207" s="8">
        <v>336</v>
      </c>
      <c r="BZ207" s="8">
        <v>294</v>
      </c>
      <c r="CA207" s="8">
        <v>260</v>
      </c>
      <c r="CB207" s="8">
        <v>106</v>
      </c>
      <c r="CC207" s="8">
        <v>336</v>
      </c>
      <c r="CD207" s="8">
        <v>286</v>
      </c>
      <c r="CE207" s="8">
        <v>338</v>
      </c>
      <c r="CF207" s="8">
        <v>360</v>
      </c>
      <c r="CG207" s="8">
        <v>410</v>
      </c>
      <c r="CH207" s="8">
        <v>266</v>
      </c>
      <c r="CJ207" s="9"/>
      <c r="CK207" s="9"/>
      <c r="CL207" s="9"/>
      <c r="CM207" s="9"/>
      <c r="CN207" s="9"/>
      <c r="CO207" s="9"/>
      <c r="CP207" s="9"/>
      <c r="CQ207" s="9"/>
      <c r="CR207" s="9"/>
      <c r="CS207" s="9"/>
      <c r="CT207" s="9"/>
      <c r="CU207" s="9"/>
      <c r="CV207" s="9"/>
      <c r="CW207" s="9"/>
      <c r="CX207" s="9"/>
      <c r="CY207" s="9"/>
      <c r="CZ207" s="9"/>
      <c r="DA207" s="9"/>
      <c r="DB207" s="9"/>
      <c r="DC207" s="9"/>
      <c r="DD207" s="9"/>
      <c r="DE207" s="9"/>
      <c r="DF207" s="9"/>
      <c r="DG207" s="9"/>
      <c r="DH207" s="9"/>
      <c r="DI207" s="9"/>
      <c r="DJ207" s="9"/>
      <c r="DK207" s="9"/>
      <c r="DL207" s="9"/>
      <c r="DM207" s="9"/>
      <c r="DN207" s="9"/>
      <c r="DO207" s="9"/>
      <c r="DP207" s="9"/>
      <c r="DQ207" s="9"/>
      <c r="DR207" s="9"/>
      <c r="DS207" s="9"/>
      <c r="DT207" s="9"/>
      <c r="DU207" s="9"/>
      <c r="DV207" s="9"/>
      <c r="DW207" s="9"/>
      <c r="DX207" s="9"/>
      <c r="DY207" s="9"/>
      <c r="DZ207" s="9"/>
      <c r="EA207" s="9"/>
      <c r="EB207" s="9"/>
      <c r="EC207" s="9"/>
      <c r="ED207" s="9"/>
      <c r="EE207" s="9"/>
      <c r="EF207" s="9"/>
      <c r="EG207" s="9"/>
      <c r="EH207" s="9"/>
      <c r="EI207" s="9"/>
      <c r="EJ207" s="9"/>
      <c r="EK207" s="9"/>
      <c r="EL207" s="9"/>
      <c r="EM207" s="9"/>
      <c r="EN207" s="9"/>
      <c r="EO207" s="9"/>
      <c r="EP207" s="9"/>
      <c r="EQ207" s="9"/>
      <c r="ER207" s="9"/>
      <c r="ES207" s="9"/>
      <c r="ET207" s="9"/>
      <c r="EU207" s="9"/>
      <c r="EV207" s="9"/>
      <c r="EW207" s="9"/>
      <c r="EX207" s="9"/>
      <c r="EY207" s="9"/>
      <c r="EZ207" s="9"/>
      <c r="FA207" s="9"/>
      <c r="FB207" s="9"/>
      <c r="FC207" s="9"/>
      <c r="FD207" s="9"/>
      <c r="FE207" s="9"/>
      <c r="FF207" s="9"/>
      <c r="FG207" s="9"/>
      <c r="FH207" s="9"/>
      <c r="FI207" s="9"/>
    </row>
    <row r="208" spans="1:165" x14ac:dyDescent="0.2">
      <c r="A208" s="1" t="s">
        <v>1000</v>
      </c>
      <c r="B208" s="1" t="s">
        <v>1001</v>
      </c>
      <c r="C208" s="1" t="s">
        <v>582</v>
      </c>
      <c r="D208" s="1" t="str">
        <f>HYPERLINK("http://eros.fiehnlab.ucdavis.edu:8080/binbase-compound/bin/show/270547?db=rtx5","270547")</f>
        <v>270547</v>
      </c>
      <c r="E208" s="1" t="s">
        <v>1002</v>
      </c>
      <c r="F208" s="1" t="s">
        <v>184</v>
      </c>
      <c r="G208" s="1" t="s">
        <v>184</v>
      </c>
      <c r="H208" s="1"/>
      <c r="I208" s="8">
        <v>384</v>
      </c>
      <c r="J208" s="8">
        <v>349</v>
      </c>
      <c r="K208" s="8">
        <v>347</v>
      </c>
      <c r="L208" s="8">
        <v>313</v>
      </c>
      <c r="M208" s="8">
        <v>463</v>
      </c>
      <c r="N208" s="8">
        <v>427</v>
      </c>
      <c r="O208" s="8">
        <v>237</v>
      </c>
      <c r="P208" s="8">
        <v>328</v>
      </c>
      <c r="Q208" s="8">
        <v>381</v>
      </c>
      <c r="R208" s="8">
        <v>423</v>
      </c>
      <c r="S208" s="8">
        <v>524</v>
      </c>
      <c r="T208" s="8">
        <v>377</v>
      </c>
      <c r="U208" s="8">
        <v>305</v>
      </c>
      <c r="V208" s="8">
        <v>223</v>
      </c>
      <c r="W208" s="8">
        <v>361</v>
      </c>
      <c r="X208" s="8">
        <v>320</v>
      </c>
      <c r="Y208" s="8">
        <v>369</v>
      </c>
      <c r="Z208" s="8">
        <v>497</v>
      </c>
      <c r="AA208" s="8">
        <v>197</v>
      </c>
      <c r="AB208" s="8">
        <v>268</v>
      </c>
      <c r="AC208" s="8">
        <v>305</v>
      </c>
      <c r="AD208" s="8">
        <v>229</v>
      </c>
      <c r="AE208" s="8">
        <v>355</v>
      </c>
      <c r="AF208" s="8">
        <v>396</v>
      </c>
      <c r="AG208" s="8">
        <v>212</v>
      </c>
      <c r="AH208" s="8">
        <v>309</v>
      </c>
      <c r="AI208" s="8">
        <v>258</v>
      </c>
      <c r="AJ208" s="8">
        <v>431</v>
      </c>
      <c r="AK208" s="8">
        <v>463</v>
      </c>
      <c r="AL208" s="8">
        <v>660</v>
      </c>
      <c r="AM208" s="8">
        <v>348</v>
      </c>
      <c r="AN208" s="8">
        <v>330</v>
      </c>
      <c r="AO208" s="8">
        <v>341</v>
      </c>
      <c r="AP208" s="8">
        <v>448</v>
      </c>
      <c r="AQ208" s="8">
        <v>429</v>
      </c>
      <c r="AR208" s="8">
        <v>353</v>
      </c>
      <c r="AS208" s="8">
        <v>268</v>
      </c>
      <c r="AT208" s="8">
        <v>392</v>
      </c>
      <c r="AU208" s="8">
        <v>273</v>
      </c>
      <c r="AV208" s="8">
        <v>225</v>
      </c>
      <c r="AW208" s="8">
        <v>363</v>
      </c>
      <c r="AX208" s="8">
        <v>286</v>
      </c>
      <c r="AY208" s="8">
        <v>385</v>
      </c>
      <c r="AZ208" s="8">
        <v>519</v>
      </c>
      <c r="BA208" s="8">
        <v>672</v>
      </c>
      <c r="BB208" s="8">
        <v>480</v>
      </c>
      <c r="BC208" s="8">
        <v>440</v>
      </c>
      <c r="BD208" s="8">
        <v>546</v>
      </c>
      <c r="BE208" s="8">
        <v>291</v>
      </c>
      <c r="BF208" s="8">
        <v>326</v>
      </c>
      <c r="BG208" s="8">
        <v>229</v>
      </c>
      <c r="BH208" s="8">
        <v>227</v>
      </c>
      <c r="BI208" s="8">
        <v>429</v>
      </c>
      <c r="BJ208" s="8">
        <v>415</v>
      </c>
      <c r="BK208" s="8">
        <v>257</v>
      </c>
      <c r="BL208" s="8">
        <v>331</v>
      </c>
      <c r="BM208" s="8">
        <v>355</v>
      </c>
      <c r="BN208" s="8">
        <v>304</v>
      </c>
      <c r="BO208" s="8">
        <v>395</v>
      </c>
      <c r="BP208" s="8">
        <v>604</v>
      </c>
      <c r="BQ208" s="8">
        <v>298</v>
      </c>
      <c r="BR208" s="8">
        <v>193</v>
      </c>
      <c r="BS208" s="8">
        <v>299</v>
      </c>
      <c r="BT208" s="8">
        <v>411</v>
      </c>
      <c r="BU208" s="8">
        <v>412</v>
      </c>
      <c r="BV208" s="8">
        <v>302</v>
      </c>
      <c r="BW208" s="8">
        <v>246</v>
      </c>
      <c r="BX208" s="8">
        <v>351</v>
      </c>
      <c r="BY208" s="8">
        <v>245</v>
      </c>
      <c r="BZ208" s="8">
        <v>274</v>
      </c>
      <c r="CA208" s="8">
        <v>291</v>
      </c>
      <c r="CB208" s="8">
        <v>241</v>
      </c>
      <c r="CC208" s="8">
        <v>276</v>
      </c>
      <c r="CD208" s="8">
        <v>199</v>
      </c>
      <c r="CE208" s="8">
        <v>234</v>
      </c>
      <c r="CF208" s="8">
        <v>336</v>
      </c>
      <c r="CG208" s="8">
        <v>313</v>
      </c>
      <c r="CH208" s="8">
        <v>329</v>
      </c>
      <c r="CJ208" s="9"/>
      <c r="CK208" s="9"/>
      <c r="CL208" s="9"/>
      <c r="CM208" s="9"/>
      <c r="CN208" s="9"/>
      <c r="CO208" s="9"/>
      <c r="CP208" s="9"/>
      <c r="CQ208" s="9"/>
      <c r="CR208" s="9"/>
      <c r="CS208" s="9"/>
      <c r="CT208" s="9"/>
      <c r="CU208" s="9"/>
      <c r="CV208" s="9"/>
      <c r="CW208" s="9"/>
      <c r="CX208" s="9"/>
      <c r="CY208" s="9"/>
      <c r="CZ208" s="9"/>
      <c r="DA208" s="9"/>
      <c r="DB208" s="9"/>
      <c r="DC208" s="9"/>
      <c r="DD208" s="9"/>
      <c r="DE208" s="9"/>
      <c r="DF208" s="9"/>
      <c r="DG208" s="9"/>
      <c r="DH208" s="9"/>
      <c r="DI208" s="9"/>
      <c r="DJ208" s="9"/>
      <c r="DK208" s="9"/>
      <c r="DL208" s="9"/>
      <c r="DM208" s="9"/>
      <c r="DN208" s="9"/>
      <c r="DO208" s="9"/>
      <c r="DP208" s="9"/>
      <c r="DQ208" s="9"/>
      <c r="DR208" s="9"/>
      <c r="DS208" s="9"/>
      <c r="DT208" s="9"/>
      <c r="DU208" s="9"/>
      <c r="DV208" s="9"/>
      <c r="DW208" s="9"/>
      <c r="DX208" s="9"/>
      <c r="DY208" s="9"/>
      <c r="DZ208" s="9"/>
      <c r="EA208" s="9"/>
      <c r="EB208" s="9"/>
      <c r="EC208" s="9"/>
      <c r="ED208" s="9"/>
      <c r="EE208" s="9"/>
      <c r="EF208" s="9"/>
      <c r="EG208" s="9"/>
      <c r="EH208" s="9"/>
      <c r="EI208" s="9"/>
      <c r="EJ208" s="9"/>
      <c r="EK208" s="9"/>
      <c r="EL208" s="9"/>
      <c r="EM208" s="9"/>
      <c r="EN208" s="9"/>
      <c r="EO208" s="9"/>
      <c r="EP208" s="9"/>
      <c r="EQ208" s="9"/>
      <c r="ER208" s="9"/>
      <c r="ES208" s="9"/>
      <c r="ET208" s="9"/>
      <c r="EU208" s="9"/>
      <c r="EV208" s="9"/>
      <c r="EW208" s="9"/>
      <c r="EX208" s="9"/>
      <c r="EY208" s="9"/>
      <c r="EZ208" s="9"/>
      <c r="FA208" s="9"/>
      <c r="FB208" s="9"/>
      <c r="FC208" s="9"/>
      <c r="FD208" s="9"/>
      <c r="FE208" s="9"/>
      <c r="FF208" s="9"/>
      <c r="FG208" s="9"/>
      <c r="FH208" s="9"/>
      <c r="FI208" s="9"/>
    </row>
    <row r="209" spans="1:165" x14ac:dyDescent="0.2">
      <c r="A209" s="1" t="s">
        <v>1078</v>
      </c>
      <c r="B209" s="1" t="s">
        <v>1079</v>
      </c>
      <c r="C209" s="1" t="s">
        <v>728</v>
      </c>
      <c r="D209" s="1" t="str">
        <f>HYPERLINK("http://eros.fiehnlab.ucdavis.edu:8080/binbase-compound/bin/show/239592?db=rtx5","239592")</f>
        <v>239592</v>
      </c>
      <c r="E209" s="1" t="s">
        <v>1080</v>
      </c>
      <c r="F209" s="1" t="s">
        <v>184</v>
      </c>
      <c r="G209" s="1" t="s">
        <v>184</v>
      </c>
      <c r="H209" s="1"/>
      <c r="I209" s="8">
        <v>771</v>
      </c>
      <c r="J209" s="8">
        <v>1107</v>
      </c>
      <c r="K209" s="8">
        <v>1202</v>
      </c>
      <c r="L209" s="8">
        <v>1134</v>
      </c>
      <c r="M209" s="8">
        <v>956</v>
      </c>
      <c r="N209" s="8">
        <v>1165</v>
      </c>
      <c r="O209" s="8">
        <v>1061</v>
      </c>
      <c r="P209" s="8">
        <v>1017</v>
      </c>
      <c r="Q209" s="8">
        <v>1091</v>
      </c>
      <c r="R209" s="8">
        <v>695</v>
      </c>
      <c r="S209" s="8">
        <v>831</v>
      </c>
      <c r="T209" s="8">
        <v>815</v>
      </c>
      <c r="U209" s="8">
        <v>1133</v>
      </c>
      <c r="V209" s="8">
        <v>1326</v>
      </c>
      <c r="W209" s="8">
        <v>1041</v>
      </c>
      <c r="X209" s="8">
        <v>658</v>
      </c>
      <c r="Y209" s="8">
        <v>1103</v>
      </c>
      <c r="Z209" s="8">
        <v>902</v>
      </c>
      <c r="AA209" s="8">
        <v>585</v>
      </c>
      <c r="AB209" s="8">
        <v>898</v>
      </c>
      <c r="AC209" s="8">
        <v>1064</v>
      </c>
      <c r="AD209" s="8">
        <v>1095</v>
      </c>
      <c r="AE209" s="8">
        <v>1013</v>
      </c>
      <c r="AF209" s="8">
        <v>657</v>
      </c>
      <c r="AG209" s="8">
        <v>880</v>
      </c>
      <c r="AH209" s="8">
        <v>935</v>
      </c>
      <c r="AI209" s="8">
        <v>988</v>
      </c>
      <c r="AJ209" s="8">
        <v>1565</v>
      </c>
      <c r="AK209" s="8">
        <v>720</v>
      </c>
      <c r="AL209" s="8">
        <v>444</v>
      </c>
      <c r="AM209" s="8">
        <v>1150</v>
      </c>
      <c r="AN209" s="8">
        <v>1226</v>
      </c>
      <c r="AO209" s="8">
        <v>1449</v>
      </c>
      <c r="AP209" s="8">
        <v>921</v>
      </c>
      <c r="AQ209" s="8">
        <v>975</v>
      </c>
      <c r="AR209" s="8">
        <v>897</v>
      </c>
      <c r="AS209" s="8">
        <v>1266</v>
      </c>
      <c r="AT209" s="8">
        <v>983</v>
      </c>
      <c r="AU209" s="8">
        <v>769</v>
      </c>
      <c r="AV209" s="8">
        <v>1114</v>
      </c>
      <c r="AW209" s="8">
        <v>1482</v>
      </c>
      <c r="AX209" s="8">
        <v>841</v>
      </c>
      <c r="AY209" s="8">
        <v>1445</v>
      </c>
      <c r="AZ209" s="8">
        <v>1181</v>
      </c>
      <c r="BA209" s="8">
        <v>1512</v>
      </c>
      <c r="BB209" s="8">
        <v>1138</v>
      </c>
      <c r="BC209" s="8">
        <v>1657</v>
      </c>
      <c r="BD209" s="8">
        <v>929</v>
      </c>
      <c r="BE209" s="8">
        <v>1030</v>
      </c>
      <c r="BF209" s="8">
        <v>872</v>
      </c>
      <c r="BG209" s="8">
        <v>1411</v>
      </c>
      <c r="BH209" s="8">
        <v>832</v>
      </c>
      <c r="BI209" s="8">
        <v>1114</v>
      </c>
      <c r="BJ209" s="8">
        <v>876</v>
      </c>
      <c r="BK209" s="8">
        <v>773</v>
      </c>
      <c r="BL209" s="8">
        <v>1253</v>
      </c>
      <c r="BM209" s="8">
        <v>1247</v>
      </c>
      <c r="BN209" s="8">
        <v>456</v>
      </c>
      <c r="BO209" s="8">
        <v>1130</v>
      </c>
      <c r="BP209" s="8">
        <v>1222</v>
      </c>
      <c r="BQ209" s="8">
        <v>1621</v>
      </c>
      <c r="BR209" s="8">
        <v>1532</v>
      </c>
      <c r="BS209" s="8">
        <v>909</v>
      </c>
      <c r="BT209" s="8">
        <v>1139</v>
      </c>
      <c r="BU209" s="8">
        <v>1140</v>
      </c>
      <c r="BV209" s="8">
        <v>856</v>
      </c>
      <c r="BW209" s="8">
        <v>736</v>
      </c>
      <c r="BX209" s="8">
        <v>1060</v>
      </c>
      <c r="BY209" s="8">
        <v>946</v>
      </c>
      <c r="BZ209" s="8">
        <v>652</v>
      </c>
      <c r="CA209" s="8">
        <v>787</v>
      </c>
      <c r="CB209" s="8">
        <v>676</v>
      </c>
      <c r="CC209" s="8">
        <v>748</v>
      </c>
      <c r="CD209" s="8">
        <v>686</v>
      </c>
      <c r="CE209" s="8">
        <v>964</v>
      </c>
      <c r="CF209" s="8">
        <v>909</v>
      </c>
      <c r="CG209" s="8">
        <v>812</v>
      </c>
      <c r="CH209" s="8">
        <v>771</v>
      </c>
      <c r="CJ209" s="9"/>
      <c r="CK209" s="9"/>
      <c r="CL209" s="9"/>
      <c r="CM209" s="9"/>
      <c r="CN209" s="9"/>
      <c r="CO209" s="9"/>
      <c r="CP209" s="9"/>
      <c r="CQ209" s="9"/>
      <c r="CR209" s="9"/>
      <c r="CS209" s="9"/>
      <c r="CT209" s="9"/>
      <c r="CU209" s="9"/>
      <c r="CV209" s="9"/>
      <c r="CW209" s="9"/>
      <c r="CX209" s="9"/>
      <c r="CY209" s="9"/>
      <c r="CZ209" s="9"/>
      <c r="DA209" s="9"/>
      <c r="DB209" s="9"/>
      <c r="DC209" s="9"/>
      <c r="DD209" s="9"/>
      <c r="DE209" s="9"/>
      <c r="DF209" s="9"/>
      <c r="DG209" s="9"/>
      <c r="DH209" s="9"/>
      <c r="DI209" s="9"/>
      <c r="DJ209" s="9"/>
      <c r="DK209" s="9"/>
      <c r="DL209" s="9"/>
      <c r="DM209" s="9"/>
      <c r="DN209" s="9"/>
      <c r="DO209" s="9"/>
      <c r="DP209" s="9"/>
      <c r="DQ209" s="9"/>
      <c r="DR209" s="9"/>
      <c r="DS209" s="9"/>
      <c r="DT209" s="9"/>
      <c r="DU209" s="9"/>
      <c r="DV209" s="9"/>
      <c r="DW209" s="9"/>
      <c r="DX209" s="9"/>
      <c r="DY209" s="9"/>
      <c r="DZ209" s="9"/>
      <c r="EA209" s="9"/>
      <c r="EB209" s="9"/>
      <c r="EC209" s="9"/>
      <c r="ED209" s="9"/>
      <c r="EE209" s="9"/>
      <c r="EF209" s="9"/>
      <c r="EG209" s="9"/>
      <c r="EH209" s="9"/>
      <c r="EI209" s="9"/>
      <c r="EJ209" s="9"/>
      <c r="EK209" s="9"/>
      <c r="EL209" s="9"/>
      <c r="EM209" s="9"/>
      <c r="EN209" s="9"/>
      <c r="EO209" s="9"/>
      <c r="EP209" s="9"/>
      <c r="EQ209" s="9"/>
      <c r="ER209" s="9"/>
      <c r="ES209" s="9"/>
      <c r="ET209" s="9"/>
      <c r="EU209" s="9"/>
      <c r="EV209" s="9"/>
      <c r="EW209" s="9"/>
      <c r="EX209" s="9"/>
      <c r="EY209" s="9"/>
      <c r="EZ209" s="9"/>
      <c r="FA209" s="9"/>
      <c r="FB209" s="9"/>
      <c r="FC209" s="9"/>
      <c r="FD209" s="9"/>
      <c r="FE209" s="9"/>
      <c r="FF209" s="9"/>
      <c r="FG209" s="9"/>
      <c r="FH209" s="9"/>
      <c r="FI209" s="9"/>
    </row>
    <row r="210" spans="1:165" x14ac:dyDescent="0.2">
      <c r="A210" s="1" t="s">
        <v>1305</v>
      </c>
      <c r="B210" s="1" t="s">
        <v>1306</v>
      </c>
      <c r="C210" s="1" t="s">
        <v>1146</v>
      </c>
      <c r="D210" s="1" t="str">
        <f>HYPERLINK("http://eros.fiehnlab.ucdavis.edu:8080/binbase-compound/bin/show/211382?db=rtx5","211382")</f>
        <v>211382</v>
      </c>
      <c r="E210" s="1" t="s">
        <v>1307</v>
      </c>
      <c r="F210" s="1" t="s">
        <v>184</v>
      </c>
      <c r="G210" s="1" t="s">
        <v>184</v>
      </c>
      <c r="H210" s="1"/>
      <c r="I210" s="8">
        <v>8111</v>
      </c>
      <c r="J210" s="8">
        <v>9842</v>
      </c>
      <c r="K210" s="8">
        <v>6050</v>
      </c>
      <c r="L210" s="8">
        <v>6273</v>
      </c>
      <c r="M210" s="8">
        <v>4470</v>
      </c>
      <c r="N210" s="8">
        <v>6238</v>
      </c>
      <c r="O210" s="8">
        <v>6221</v>
      </c>
      <c r="P210" s="8">
        <v>8521</v>
      </c>
      <c r="Q210" s="8">
        <v>9179</v>
      </c>
      <c r="R210" s="8">
        <v>4721</v>
      </c>
      <c r="S210" s="8">
        <v>5616</v>
      </c>
      <c r="T210" s="8">
        <v>3376</v>
      </c>
      <c r="U210" s="8">
        <v>7164</v>
      </c>
      <c r="V210" s="8">
        <v>5060</v>
      </c>
      <c r="W210" s="8">
        <v>3569</v>
      </c>
      <c r="X210" s="8">
        <v>9252</v>
      </c>
      <c r="Y210" s="8">
        <v>3916</v>
      </c>
      <c r="Z210" s="8">
        <v>6192</v>
      </c>
      <c r="AA210" s="8">
        <v>1776</v>
      </c>
      <c r="AB210" s="8">
        <v>8998</v>
      </c>
      <c r="AC210" s="8">
        <v>18179</v>
      </c>
      <c r="AD210" s="8">
        <v>5389</v>
      </c>
      <c r="AE210" s="8">
        <v>11857</v>
      </c>
      <c r="AF210" s="8">
        <v>4445</v>
      </c>
      <c r="AG210" s="8">
        <v>5744</v>
      </c>
      <c r="AH210" s="8">
        <v>4207</v>
      </c>
      <c r="AI210" s="8">
        <v>4879</v>
      </c>
      <c r="AJ210" s="8">
        <v>8467</v>
      </c>
      <c r="AK210" s="8">
        <v>2495</v>
      </c>
      <c r="AL210" s="8">
        <v>4104</v>
      </c>
      <c r="AM210" s="8">
        <v>4679</v>
      </c>
      <c r="AN210" s="8">
        <v>11234</v>
      </c>
      <c r="AO210" s="8">
        <v>8655</v>
      </c>
      <c r="AP210" s="8">
        <v>5729</v>
      </c>
      <c r="AQ210" s="8">
        <v>8412</v>
      </c>
      <c r="AR210" s="8">
        <v>3398</v>
      </c>
      <c r="AS210" s="8">
        <v>6270</v>
      </c>
      <c r="AT210" s="8">
        <v>6207</v>
      </c>
      <c r="AU210" s="8">
        <v>6585</v>
      </c>
      <c r="AV210" s="8">
        <v>5759</v>
      </c>
      <c r="AW210" s="8">
        <v>3648</v>
      </c>
      <c r="AX210" s="8">
        <v>7823</v>
      </c>
      <c r="AY210" s="8">
        <v>14091</v>
      </c>
      <c r="AZ210" s="8">
        <v>9414</v>
      </c>
      <c r="BA210" s="8">
        <v>5030</v>
      </c>
      <c r="BB210" s="8">
        <v>3905</v>
      </c>
      <c r="BC210" s="8">
        <v>10206</v>
      </c>
      <c r="BD210" s="8">
        <v>5685</v>
      </c>
      <c r="BE210" s="8">
        <v>9827</v>
      </c>
      <c r="BF210" s="8">
        <v>8459</v>
      </c>
      <c r="BG210" s="8">
        <v>9859</v>
      </c>
      <c r="BH210" s="8">
        <v>3771</v>
      </c>
      <c r="BI210" s="8">
        <v>3587</v>
      </c>
      <c r="BJ210" s="8">
        <v>5309</v>
      </c>
      <c r="BK210" s="8">
        <v>11380</v>
      </c>
      <c r="BL210" s="8">
        <v>7226</v>
      </c>
      <c r="BM210" s="8">
        <v>3878</v>
      </c>
      <c r="BN210" s="8">
        <v>7031</v>
      </c>
      <c r="BO210" s="8">
        <v>6737</v>
      </c>
      <c r="BP210" s="8">
        <v>3415</v>
      </c>
      <c r="BQ210" s="8">
        <v>5915</v>
      </c>
      <c r="BR210" s="8">
        <v>3682</v>
      </c>
      <c r="BS210" s="8">
        <v>7599</v>
      </c>
      <c r="BT210" s="8">
        <v>7961</v>
      </c>
      <c r="BU210" s="8">
        <v>4970</v>
      </c>
      <c r="BV210" s="8">
        <v>4130</v>
      </c>
      <c r="BW210" s="8">
        <v>7278</v>
      </c>
      <c r="BX210" s="8">
        <v>8722</v>
      </c>
      <c r="BY210" s="8">
        <v>9763</v>
      </c>
      <c r="BZ210" s="8">
        <v>7857</v>
      </c>
      <c r="CA210" s="8">
        <v>9068</v>
      </c>
      <c r="CB210" s="8">
        <v>7485</v>
      </c>
      <c r="CC210" s="8">
        <v>5048</v>
      </c>
      <c r="CD210" s="8">
        <v>5799</v>
      </c>
      <c r="CE210" s="8">
        <v>7328</v>
      </c>
      <c r="CF210" s="8">
        <v>8784</v>
      </c>
      <c r="CG210" s="8">
        <v>7976</v>
      </c>
      <c r="CH210" s="8">
        <v>8933</v>
      </c>
      <c r="CJ210" s="9"/>
      <c r="CK210" s="9"/>
      <c r="CL210" s="9"/>
      <c r="CM210" s="9"/>
      <c r="CN210" s="9"/>
      <c r="CO210" s="9"/>
      <c r="CP210" s="9"/>
      <c r="CQ210" s="9"/>
      <c r="CR210" s="9"/>
      <c r="CS210" s="9"/>
      <c r="CT210" s="9"/>
      <c r="CU210" s="9"/>
      <c r="CV210" s="9"/>
      <c r="CW210" s="9"/>
      <c r="CX210" s="9"/>
      <c r="CY210" s="9"/>
      <c r="CZ210" s="9"/>
      <c r="DA210" s="9"/>
      <c r="DB210" s="9"/>
      <c r="DC210" s="9"/>
      <c r="DD210" s="9"/>
      <c r="DE210" s="9"/>
      <c r="DF210" s="9"/>
      <c r="DG210" s="9"/>
      <c r="DH210" s="9"/>
      <c r="DI210" s="9"/>
      <c r="DJ210" s="9"/>
      <c r="DK210" s="9"/>
      <c r="DL210" s="9"/>
      <c r="DM210" s="9"/>
      <c r="DN210" s="9"/>
      <c r="DO210" s="9"/>
      <c r="DP210" s="9"/>
      <c r="DQ210" s="9"/>
      <c r="DR210" s="9"/>
      <c r="DS210" s="9"/>
      <c r="DT210" s="9"/>
      <c r="DU210" s="9"/>
      <c r="DV210" s="9"/>
      <c r="DW210" s="9"/>
      <c r="DX210" s="9"/>
      <c r="DY210" s="9"/>
      <c r="DZ210" s="9"/>
      <c r="EA210" s="9"/>
      <c r="EB210" s="9"/>
      <c r="EC210" s="9"/>
      <c r="ED210" s="9"/>
      <c r="EE210" s="9"/>
      <c r="EF210" s="9"/>
      <c r="EG210" s="9"/>
      <c r="EH210" s="9"/>
      <c r="EI210" s="9"/>
      <c r="EJ210" s="9"/>
      <c r="EK210" s="9"/>
      <c r="EL210" s="9"/>
      <c r="EM210" s="9"/>
      <c r="EN210" s="9"/>
      <c r="EO210" s="9"/>
      <c r="EP210" s="9"/>
      <c r="EQ210" s="9"/>
      <c r="ER210" s="9"/>
      <c r="ES210" s="9"/>
      <c r="ET210" s="9"/>
      <c r="EU210" s="9"/>
      <c r="EV210" s="9"/>
      <c r="EW210" s="9"/>
      <c r="EX210" s="9"/>
      <c r="EY210" s="9"/>
      <c r="EZ210" s="9"/>
      <c r="FA210" s="9"/>
      <c r="FB210" s="9"/>
      <c r="FC210" s="9"/>
      <c r="FD210" s="9"/>
      <c r="FE210" s="9"/>
      <c r="FF210" s="9"/>
      <c r="FG210" s="9"/>
      <c r="FH210" s="9"/>
      <c r="FI210" s="9"/>
    </row>
    <row r="211" spans="1:165" x14ac:dyDescent="0.2">
      <c r="A211" s="1" t="s">
        <v>1357</v>
      </c>
      <c r="B211" s="1" t="s">
        <v>1358</v>
      </c>
      <c r="C211" s="1" t="s">
        <v>1359</v>
      </c>
      <c r="D211" s="1" t="str">
        <f>HYPERLINK("http://eros.fiehnlab.ucdavis.edu:8080/binbase-compound/bin/show/201862?db=rtx5","201862")</f>
        <v>201862</v>
      </c>
      <c r="E211" s="1" t="s">
        <v>1360</v>
      </c>
      <c r="F211" s="1" t="s">
        <v>184</v>
      </c>
      <c r="G211" s="1" t="s">
        <v>184</v>
      </c>
      <c r="H211" s="1"/>
      <c r="I211" s="8">
        <v>345</v>
      </c>
      <c r="J211" s="8">
        <v>96</v>
      </c>
      <c r="K211" s="8">
        <v>90</v>
      </c>
      <c r="L211" s="8">
        <v>74</v>
      </c>
      <c r="M211" s="8">
        <v>622</v>
      </c>
      <c r="N211" s="8">
        <v>295</v>
      </c>
      <c r="O211" s="8">
        <v>102</v>
      </c>
      <c r="P211" s="8">
        <v>123</v>
      </c>
      <c r="Q211" s="8">
        <v>474</v>
      </c>
      <c r="R211" s="8">
        <v>544</v>
      </c>
      <c r="S211" s="8">
        <v>427</v>
      </c>
      <c r="T211" s="8">
        <v>268</v>
      </c>
      <c r="U211" s="8">
        <v>207</v>
      </c>
      <c r="V211" s="8">
        <v>117</v>
      </c>
      <c r="W211" s="8">
        <v>756</v>
      </c>
      <c r="X211" s="8">
        <v>1311</v>
      </c>
      <c r="Y211" s="8">
        <v>303</v>
      </c>
      <c r="Z211" s="8">
        <v>355</v>
      </c>
      <c r="AA211" s="8">
        <v>175</v>
      </c>
      <c r="AB211" s="8">
        <v>130</v>
      </c>
      <c r="AC211" s="8">
        <v>56</v>
      </c>
      <c r="AD211" s="8">
        <v>96</v>
      </c>
      <c r="AE211" s="8">
        <v>961</v>
      </c>
      <c r="AF211" s="8">
        <v>364</v>
      </c>
      <c r="AG211" s="8">
        <v>185</v>
      </c>
      <c r="AH211" s="8">
        <v>84</v>
      </c>
      <c r="AI211" s="8">
        <v>74</v>
      </c>
      <c r="AJ211" s="8">
        <v>1108</v>
      </c>
      <c r="AK211" s="8">
        <v>392</v>
      </c>
      <c r="AL211" s="8">
        <v>814</v>
      </c>
      <c r="AM211" s="8">
        <v>227</v>
      </c>
      <c r="AN211" s="8">
        <v>189</v>
      </c>
      <c r="AO211" s="8">
        <v>104</v>
      </c>
      <c r="AP211" s="8">
        <v>1206</v>
      </c>
      <c r="AQ211" s="8">
        <v>500</v>
      </c>
      <c r="AR211" s="8">
        <v>277</v>
      </c>
      <c r="AS211" s="8">
        <v>232</v>
      </c>
      <c r="AT211" s="8">
        <v>169</v>
      </c>
      <c r="AU211" s="8">
        <v>120</v>
      </c>
      <c r="AV211" s="8">
        <v>89</v>
      </c>
      <c r="AW211" s="8">
        <v>1140</v>
      </c>
      <c r="AX211" s="8">
        <v>449</v>
      </c>
      <c r="AY211" s="8">
        <v>130</v>
      </c>
      <c r="AZ211" s="8">
        <v>613</v>
      </c>
      <c r="BA211" s="8">
        <v>708</v>
      </c>
      <c r="BB211" s="8">
        <v>1024</v>
      </c>
      <c r="BC211" s="8">
        <v>666</v>
      </c>
      <c r="BD211" s="8">
        <v>399</v>
      </c>
      <c r="BE211" s="8">
        <v>157</v>
      </c>
      <c r="BF211" s="8">
        <v>135</v>
      </c>
      <c r="BG211" s="8">
        <v>95</v>
      </c>
      <c r="BH211" s="8">
        <v>80</v>
      </c>
      <c r="BI211" s="8">
        <v>656</v>
      </c>
      <c r="BJ211" s="8">
        <v>456</v>
      </c>
      <c r="BK211" s="8">
        <v>356</v>
      </c>
      <c r="BL211" s="8">
        <v>198</v>
      </c>
      <c r="BM211" s="8">
        <v>167</v>
      </c>
      <c r="BN211" s="8">
        <v>752</v>
      </c>
      <c r="BO211" s="8">
        <v>794</v>
      </c>
      <c r="BP211" s="8">
        <v>774</v>
      </c>
      <c r="BQ211" s="8">
        <v>213</v>
      </c>
      <c r="BR211" s="8">
        <v>198</v>
      </c>
      <c r="BS211" s="8">
        <v>258</v>
      </c>
      <c r="BT211" s="8">
        <v>610</v>
      </c>
      <c r="BU211" s="8">
        <v>541</v>
      </c>
      <c r="BV211" s="8">
        <v>675</v>
      </c>
      <c r="BW211" s="8">
        <v>495</v>
      </c>
      <c r="BX211" s="8">
        <v>75</v>
      </c>
      <c r="BY211" s="8">
        <v>37</v>
      </c>
      <c r="BZ211" s="8">
        <v>1182</v>
      </c>
      <c r="CA211" s="8">
        <v>745</v>
      </c>
      <c r="CB211" s="8">
        <v>308</v>
      </c>
      <c r="CC211" s="8">
        <v>239</v>
      </c>
      <c r="CD211" s="8">
        <v>108</v>
      </c>
      <c r="CE211" s="8">
        <v>101</v>
      </c>
      <c r="CF211" s="8">
        <v>97</v>
      </c>
      <c r="CG211" s="8">
        <v>693</v>
      </c>
      <c r="CH211" s="8">
        <v>692</v>
      </c>
      <c r="CJ211" s="9"/>
      <c r="CK211" s="9"/>
      <c r="CL211" s="9"/>
      <c r="CM211" s="9"/>
      <c r="CN211" s="9"/>
      <c r="CO211" s="9"/>
      <c r="CP211" s="9"/>
      <c r="CQ211" s="9"/>
      <c r="CR211" s="9"/>
      <c r="CS211" s="9"/>
      <c r="CT211" s="9"/>
      <c r="CU211" s="9"/>
      <c r="CV211" s="9"/>
      <c r="CW211" s="9"/>
      <c r="CX211" s="9"/>
      <c r="CY211" s="9"/>
      <c r="CZ211" s="9"/>
      <c r="DA211" s="9"/>
      <c r="DB211" s="9"/>
      <c r="DC211" s="9"/>
      <c r="DD211" s="9"/>
      <c r="DE211" s="9"/>
      <c r="DF211" s="9"/>
      <c r="DG211" s="9"/>
      <c r="DH211" s="9"/>
      <c r="DI211" s="9"/>
      <c r="DJ211" s="9"/>
      <c r="DK211" s="9"/>
      <c r="DL211" s="9"/>
      <c r="DM211" s="9"/>
      <c r="DN211" s="9"/>
      <c r="DO211" s="9"/>
      <c r="DP211" s="9"/>
      <c r="DQ211" s="9"/>
      <c r="DR211" s="9"/>
      <c r="DS211" s="9"/>
      <c r="DT211" s="9"/>
      <c r="DU211" s="9"/>
      <c r="DV211" s="9"/>
      <c r="DW211" s="9"/>
      <c r="DX211" s="9"/>
      <c r="DY211" s="9"/>
      <c r="DZ211" s="9"/>
      <c r="EA211" s="9"/>
      <c r="EB211" s="9"/>
      <c r="EC211" s="9"/>
      <c r="ED211" s="9"/>
      <c r="EE211" s="9"/>
      <c r="EF211" s="9"/>
      <c r="EG211" s="9"/>
      <c r="EH211" s="9"/>
      <c r="EI211" s="9"/>
      <c r="EJ211" s="9"/>
      <c r="EK211" s="9"/>
      <c r="EL211" s="9"/>
      <c r="EM211" s="9"/>
      <c r="EN211" s="9"/>
      <c r="EO211" s="9"/>
      <c r="EP211" s="9"/>
      <c r="EQ211" s="9"/>
      <c r="ER211" s="9"/>
      <c r="ES211" s="9"/>
      <c r="ET211" s="9"/>
      <c r="EU211" s="9"/>
      <c r="EV211" s="9"/>
      <c r="EW211" s="9"/>
      <c r="EX211" s="9"/>
      <c r="EY211" s="9"/>
      <c r="EZ211" s="9"/>
      <c r="FA211" s="9"/>
      <c r="FB211" s="9"/>
      <c r="FC211" s="9"/>
      <c r="FD211" s="9"/>
      <c r="FE211" s="9"/>
      <c r="FF211" s="9"/>
      <c r="FG211" s="9"/>
      <c r="FH211" s="9"/>
      <c r="FI211" s="9"/>
    </row>
    <row r="212" spans="1:165" x14ac:dyDescent="0.2">
      <c r="A212" s="1" t="s">
        <v>991</v>
      </c>
      <c r="B212" s="1" t="s">
        <v>992</v>
      </c>
      <c r="C212" s="1" t="s">
        <v>893</v>
      </c>
      <c r="D212" s="1" t="str">
        <f>HYPERLINK("http://eros.fiehnlab.ucdavis.edu:8080/binbase-compound/bin/show/271416?db=rtx5","271416")</f>
        <v>271416</v>
      </c>
      <c r="E212" s="1" t="s">
        <v>993</v>
      </c>
      <c r="F212" s="1" t="s">
        <v>184</v>
      </c>
      <c r="G212" s="1" t="s">
        <v>184</v>
      </c>
      <c r="H212" s="1"/>
      <c r="I212" s="8">
        <v>602</v>
      </c>
      <c r="J212" s="8">
        <v>707</v>
      </c>
      <c r="K212" s="8">
        <v>814</v>
      </c>
      <c r="L212" s="8">
        <v>1089</v>
      </c>
      <c r="M212" s="8">
        <v>953</v>
      </c>
      <c r="N212" s="8">
        <v>1420</v>
      </c>
      <c r="O212" s="8">
        <v>611</v>
      </c>
      <c r="P212" s="8">
        <v>658</v>
      </c>
      <c r="Q212" s="8">
        <v>2306</v>
      </c>
      <c r="R212" s="8">
        <v>1006</v>
      </c>
      <c r="S212" s="8">
        <v>1608</v>
      </c>
      <c r="T212" s="8">
        <v>387</v>
      </c>
      <c r="U212" s="8">
        <v>791</v>
      </c>
      <c r="V212" s="8">
        <v>1334</v>
      </c>
      <c r="W212" s="8">
        <v>444</v>
      </c>
      <c r="X212" s="8">
        <v>1697</v>
      </c>
      <c r="Y212" s="8">
        <v>1350</v>
      </c>
      <c r="Z212" s="8">
        <v>1008</v>
      </c>
      <c r="AA212" s="8">
        <v>337</v>
      </c>
      <c r="AB212" s="8">
        <v>305</v>
      </c>
      <c r="AC212" s="8">
        <v>821</v>
      </c>
      <c r="AD212" s="8">
        <v>813</v>
      </c>
      <c r="AE212" s="8">
        <v>523</v>
      </c>
      <c r="AF212" s="8">
        <v>980</v>
      </c>
      <c r="AG212" s="8">
        <v>1061</v>
      </c>
      <c r="AH212" s="8">
        <v>338</v>
      </c>
      <c r="AI212" s="8">
        <v>1668</v>
      </c>
      <c r="AJ212" s="8">
        <v>938</v>
      </c>
      <c r="AK212" s="8">
        <v>585</v>
      </c>
      <c r="AL212" s="8">
        <v>859</v>
      </c>
      <c r="AM212" s="8">
        <v>727</v>
      </c>
      <c r="AN212" s="8">
        <v>786</v>
      </c>
      <c r="AO212" s="8">
        <v>1108</v>
      </c>
      <c r="AP212" s="8">
        <v>759</v>
      </c>
      <c r="AQ212" s="8">
        <v>887</v>
      </c>
      <c r="AR212" s="8">
        <v>957</v>
      </c>
      <c r="AS212" s="8">
        <v>470</v>
      </c>
      <c r="AT212" s="8">
        <v>813</v>
      </c>
      <c r="AU212" s="8">
        <v>326</v>
      </c>
      <c r="AV212" s="8">
        <v>339</v>
      </c>
      <c r="AW212" s="8">
        <v>461</v>
      </c>
      <c r="AX212" s="8">
        <v>678</v>
      </c>
      <c r="AY212" s="8">
        <v>400</v>
      </c>
      <c r="AZ212" s="8">
        <v>688</v>
      </c>
      <c r="BA212" s="8">
        <v>774</v>
      </c>
      <c r="BB212" s="8">
        <v>569</v>
      </c>
      <c r="BC212" s="8">
        <v>449</v>
      </c>
      <c r="BD212" s="8">
        <v>508</v>
      </c>
      <c r="BE212" s="8">
        <v>824</v>
      </c>
      <c r="BF212" s="8">
        <v>956</v>
      </c>
      <c r="BG212" s="8">
        <v>527</v>
      </c>
      <c r="BH212" s="8">
        <v>541</v>
      </c>
      <c r="BI212" s="8">
        <v>1352</v>
      </c>
      <c r="BJ212" s="8">
        <v>663</v>
      </c>
      <c r="BK212" s="8">
        <v>336</v>
      </c>
      <c r="BL212" s="8">
        <v>783</v>
      </c>
      <c r="BM212" s="8">
        <v>573</v>
      </c>
      <c r="BN212" s="8">
        <v>871</v>
      </c>
      <c r="BO212" s="8">
        <v>545</v>
      </c>
      <c r="BP212" s="8">
        <v>405</v>
      </c>
      <c r="BQ212" s="8">
        <v>376</v>
      </c>
      <c r="BR212" s="8">
        <v>540</v>
      </c>
      <c r="BS212" s="8">
        <v>584</v>
      </c>
      <c r="BT212" s="8">
        <v>551</v>
      </c>
      <c r="BU212" s="8">
        <v>678</v>
      </c>
      <c r="BV212" s="8">
        <v>264</v>
      </c>
      <c r="BW212" s="8">
        <v>1146</v>
      </c>
      <c r="BX212" s="8">
        <v>505</v>
      </c>
      <c r="BY212" s="8">
        <v>422</v>
      </c>
      <c r="BZ212" s="8">
        <v>1021</v>
      </c>
      <c r="CA212" s="8">
        <v>1245</v>
      </c>
      <c r="CB212" s="8">
        <v>492</v>
      </c>
      <c r="CC212" s="8">
        <v>303</v>
      </c>
      <c r="CD212" s="8">
        <v>876</v>
      </c>
      <c r="CE212" s="8">
        <v>526</v>
      </c>
      <c r="CF212" s="8">
        <v>567</v>
      </c>
      <c r="CG212" s="8">
        <v>1516</v>
      </c>
      <c r="CH212" s="8">
        <v>542</v>
      </c>
      <c r="CJ212" s="9"/>
      <c r="CK212" s="9"/>
      <c r="CL212" s="9"/>
      <c r="CM212" s="9"/>
      <c r="CN212" s="9"/>
      <c r="CO212" s="9"/>
      <c r="CP212" s="9"/>
      <c r="CQ212" s="9"/>
      <c r="CR212" s="9"/>
      <c r="CS212" s="9"/>
      <c r="CT212" s="9"/>
      <c r="CU212" s="9"/>
      <c r="CV212" s="9"/>
      <c r="CW212" s="9"/>
      <c r="CX212" s="9"/>
      <c r="CY212" s="9"/>
      <c r="CZ212" s="9"/>
      <c r="DA212" s="9"/>
      <c r="DB212" s="9"/>
      <c r="DC212" s="9"/>
      <c r="DD212" s="9"/>
      <c r="DE212" s="9"/>
      <c r="DF212" s="9"/>
      <c r="DG212" s="9"/>
      <c r="DH212" s="9"/>
      <c r="DI212" s="9"/>
      <c r="DJ212" s="9"/>
      <c r="DK212" s="9"/>
      <c r="DL212" s="9"/>
      <c r="DM212" s="9"/>
      <c r="DN212" s="9"/>
      <c r="DO212" s="9"/>
      <c r="DP212" s="9"/>
      <c r="DQ212" s="9"/>
      <c r="DR212" s="9"/>
      <c r="DS212" s="9"/>
      <c r="DT212" s="9"/>
      <c r="DU212" s="9"/>
      <c r="DV212" s="9"/>
      <c r="DW212" s="9"/>
      <c r="DX212" s="9"/>
      <c r="DY212" s="9"/>
      <c r="DZ212" s="9"/>
      <c r="EA212" s="9"/>
      <c r="EB212" s="9"/>
      <c r="EC212" s="9"/>
      <c r="ED212" s="9"/>
      <c r="EE212" s="9"/>
      <c r="EF212" s="9"/>
      <c r="EG212" s="9"/>
      <c r="EH212" s="9"/>
      <c r="EI212" s="9"/>
      <c r="EJ212" s="9"/>
      <c r="EK212" s="9"/>
      <c r="EL212" s="9"/>
      <c r="EM212" s="9"/>
      <c r="EN212" s="9"/>
      <c r="EO212" s="9"/>
      <c r="EP212" s="9"/>
      <c r="EQ212" s="9"/>
      <c r="ER212" s="9"/>
      <c r="ES212" s="9"/>
      <c r="ET212" s="9"/>
      <c r="EU212" s="9"/>
      <c r="EV212" s="9"/>
      <c r="EW212" s="9"/>
      <c r="EX212" s="9"/>
      <c r="EY212" s="9"/>
      <c r="EZ212" s="9"/>
      <c r="FA212" s="9"/>
      <c r="FB212" s="9"/>
      <c r="FC212" s="9"/>
      <c r="FD212" s="9"/>
      <c r="FE212" s="9"/>
      <c r="FF212" s="9"/>
      <c r="FG212" s="9"/>
      <c r="FH212" s="9"/>
      <c r="FI212" s="9"/>
    </row>
    <row r="213" spans="1:165" x14ac:dyDescent="0.2">
      <c r="A213" s="1" t="s">
        <v>1320</v>
      </c>
      <c r="B213" s="1" t="s">
        <v>1321</v>
      </c>
      <c r="C213" s="1" t="s">
        <v>848</v>
      </c>
      <c r="D213" s="1" t="str">
        <f>HYPERLINK("http://eros.fiehnlab.ucdavis.edu:8080/binbase-compound/bin/show/206919?db=rtx5","206919")</f>
        <v>206919</v>
      </c>
      <c r="E213" s="1" t="s">
        <v>1322</v>
      </c>
      <c r="F213" s="1" t="s">
        <v>184</v>
      </c>
      <c r="G213" s="1" t="s">
        <v>184</v>
      </c>
      <c r="H213" s="1"/>
      <c r="I213" s="8">
        <v>1561</v>
      </c>
      <c r="J213" s="8">
        <v>1151</v>
      </c>
      <c r="K213" s="8">
        <v>1095</v>
      </c>
      <c r="L213" s="8">
        <v>1307</v>
      </c>
      <c r="M213" s="8">
        <v>2141</v>
      </c>
      <c r="N213" s="8">
        <v>1593</v>
      </c>
      <c r="O213" s="8">
        <v>1076</v>
      </c>
      <c r="P213" s="8">
        <v>1580</v>
      </c>
      <c r="Q213" s="8">
        <v>2298</v>
      </c>
      <c r="R213" s="8">
        <v>1626</v>
      </c>
      <c r="S213" s="8">
        <v>1842</v>
      </c>
      <c r="T213" s="8">
        <v>1414</v>
      </c>
      <c r="U213" s="8">
        <v>1238</v>
      </c>
      <c r="V213" s="8">
        <v>1070</v>
      </c>
      <c r="W213" s="8">
        <v>1869</v>
      </c>
      <c r="X213" s="8">
        <v>2338</v>
      </c>
      <c r="Y213" s="8">
        <v>1302</v>
      </c>
      <c r="Z213" s="8">
        <v>1914</v>
      </c>
      <c r="AA213" s="8">
        <v>919</v>
      </c>
      <c r="AB213" s="8">
        <v>1174</v>
      </c>
      <c r="AC213" s="8">
        <v>1402</v>
      </c>
      <c r="AD213" s="8">
        <v>1380</v>
      </c>
      <c r="AE213" s="8">
        <v>2478</v>
      </c>
      <c r="AF213" s="8">
        <v>1579</v>
      </c>
      <c r="AG213" s="8">
        <v>843</v>
      </c>
      <c r="AH213" s="8">
        <v>998</v>
      </c>
      <c r="AI213" s="8">
        <v>1110</v>
      </c>
      <c r="AJ213" s="8">
        <v>2715</v>
      </c>
      <c r="AK213" s="8">
        <v>1963</v>
      </c>
      <c r="AL213" s="8">
        <v>2212</v>
      </c>
      <c r="AM213" s="8">
        <v>1503</v>
      </c>
      <c r="AN213" s="8">
        <v>1510</v>
      </c>
      <c r="AO213" s="8">
        <v>1518</v>
      </c>
      <c r="AP213" s="8">
        <v>2598</v>
      </c>
      <c r="AQ213" s="8">
        <v>2163</v>
      </c>
      <c r="AR213" s="8">
        <v>1356</v>
      </c>
      <c r="AS213" s="8">
        <v>1312</v>
      </c>
      <c r="AT213" s="8">
        <v>1365</v>
      </c>
      <c r="AU213" s="8">
        <v>1243</v>
      </c>
      <c r="AV213" s="8">
        <v>1145</v>
      </c>
      <c r="AW213" s="8">
        <v>2248</v>
      </c>
      <c r="AX213" s="8">
        <v>1480</v>
      </c>
      <c r="AY213" s="8">
        <v>1214</v>
      </c>
      <c r="AZ213" s="8">
        <v>2057</v>
      </c>
      <c r="BA213" s="8">
        <v>2038</v>
      </c>
      <c r="BB213" s="8">
        <v>2402</v>
      </c>
      <c r="BC213" s="8">
        <v>2197</v>
      </c>
      <c r="BD213" s="8">
        <v>1827</v>
      </c>
      <c r="BE213" s="8">
        <v>1232</v>
      </c>
      <c r="BF213" s="8">
        <v>782</v>
      </c>
      <c r="BG213" s="8">
        <v>1056</v>
      </c>
      <c r="BH213" s="8">
        <v>858</v>
      </c>
      <c r="BI213" s="8">
        <v>1559</v>
      </c>
      <c r="BJ213" s="8">
        <v>1585</v>
      </c>
      <c r="BK213" s="8">
        <v>1571</v>
      </c>
      <c r="BL213" s="8">
        <v>1429</v>
      </c>
      <c r="BM213" s="8">
        <v>1657</v>
      </c>
      <c r="BN213" s="8">
        <v>1223</v>
      </c>
      <c r="BO213" s="8">
        <v>1874</v>
      </c>
      <c r="BP213" s="8">
        <v>1880</v>
      </c>
      <c r="BQ213" s="8">
        <v>1219</v>
      </c>
      <c r="BR213" s="8">
        <v>1329</v>
      </c>
      <c r="BS213" s="8">
        <v>1109</v>
      </c>
      <c r="BT213" s="8">
        <v>1664</v>
      </c>
      <c r="BU213" s="8">
        <v>1438</v>
      </c>
      <c r="BV213" s="8">
        <v>2009</v>
      </c>
      <c r="BW213" s="8">
        <v>1436</v>
      </c>
      <c r="BX213" s="8">
        <v>1027</v>
      </c>
      <c r="BY213" s="8">
        <v>1038</v>
      </c>
      <c r="BZ213" s="8">
        <v>2222</v>
      </c>
      <c r="CA213" s="8">
        <v>2592</v>
      </c>
      <c r="CB213" s="8">
        <v>1655</v>
      </c>
      <c r="CC213" s="8">
        <v>1047</v>
      </c>
      <c r="CD213" s="8">
        <v>829</v>
      </c>
      <c r="CE213" s="8">
        <v>1236</v>
      </c>
      <c r="CF213" s="8">
        <v>1036</v>
      </c>
      <c r="CG213" s="8">
        <v>1439</v>
      </c>
      <c r="CH213" s="8">
        <v>1597</v>
      </c>
      <c r="CJ213" s="9"/>
      <c r="CK213" s="9"/>
      <c r="CL213" s="9"/>
      <c r="CM213" s="9"/>
      <c r="CN213" s="9"/>
      <c r="CO213" s="9"/>
      <c r="CP213" s="9"/>
      <c r="CQ213" s="9"/>
      <c r="CR213" s="9"/>
      <c r="CS213" s="9"/>
      <c r="CT213" s="9"/>
      <c r="CU213" s="9"/>
      <c r="CV213" s="9"/>
      <c r="CW213" s="9"/>
      <c r="CX213" s="9"/>
      <c r="CY213" s="9"/>
      <c r="CZ213" s="9"/>
      <c r="DA213" s="9"/>
      <c r="DB213" s="9"/>
      <c r="DC213" s="9"/>
      <c r="DD213" s="9"/>
      <c r="DE213" s="9"/>
      <c r="DF213" s="9"/>
      <c r="DG213" s="9"/>
      <c r="DH213" s="9"/>
      <c r="DI213" s="9"/>
      <c r="DJ213" s="9"/>
      <c r="DK213" s="9"/>
      <c r="DL213" s="9"/>
      <c r="DM213" s="9"/>
      <c r="DN213" s="9"/>
      <c r="DO213" s="9"/>
      <c r="DP213" s="9"/>
      <c r="DQ213" s="9"/>
      <c r="DR213" s="9"/>
      <c r="DS213" s="9"/>
      <c r="DT213" s="9"/>
      <c r="DU213" s="9"/>
      <c r="DV213" s="9"/>
      <c r="DW213" s="9"/>
      <c r="DX213" s="9"/>
      <c r="DY213" s="9"/>
      <c r="DZ213" s="9"/>
      <c r="EA213" s="9"/>
      <c r="EB213" s="9"/>
      <c r="EC213" s="9"/>
      <c r="ED213" s="9"/>
      <c r="EE213" s="9"/>
      <c r="EF213" s="9"/>
      <c r="EG213" s="9"/>
      <c r="EH213" s="9"/>
      <c r="EI213" s="9"/>
      <c r="EJ213" s="9"/>
      <c r="EK213" s="9"/>
      <c r="EL213" s="9"/>
      <c r="EM213" s="9"/>
      <c r="EN213" s="9"/>
      <c r="EO213" s="9"/>
      <c r="EP213" s="9"/>
      <c r="EQ213" s="9"/>
      <c r="ER213" s="9"/>
      <c r="ES213" s="9"/>
      <c r="ET213" s="9"/>
      <c r="EU213" s="9"/>
      <c r="EV213" s="9"/>
      <c r="EW213" s="9"/>
      <c r="EX213" s="9"/>
      <c r="EY213" s="9"/>
      <c r="EZ213" s="9"/>
      <c r="FA213" s="9"/>
      <c r="FB213" s="9"/>
      <c r="FC213" s="9"/>
      <c r="FD213" s="9"/>
      <c r="FE213" s="9"/>
      <c r="FF213" s="9"/>
      <c r="FG213" s="9"/>
      <c r="FH213" s="9"/>
      <c r="FI213" s="9"/>
    </row>
    <row r="214" spans="1:165" x14ac:dyDescent="0.2">
      <c r="A214" s="1" t="s">
        <v>866</v>
      </c>
      <c r="B214" s="1" t="s">
        <v>867</v>
      </c>
      <c r="C214" s="1" t="s">
        <v>382</v>
      </c>
      <c r="D214" s="1" t="str">
        <f>HYPERLINK("http://eros.fiehnlab.ucdavis.edu:8080/binbase-compound/bin/show/309882?db=rtx5","309882")</f>
        <v>309882</v>
      </c>
      <c r="E214" s="1" t="s">
        <v>868</v>
      </c>
      <c r="F214" s="1" t="s">
        <v>184</v>
      </c>
      <c r="G214" s="1" t="s">
        <v>184</v>
      </c>
      <c r="H214" s="1"/>
      <c r="I214" s="8">
        <v>521</v>
      </c>
      <c r="J214" s="8">
        <v>739</v>
      </c>
      <c r="K214" s="8">
        <v>529</v>
      </c>
      <c r="L214" s="8">
        <v>500</v>
      </c>
      <c r="M214" s="8">
        <v>776</v>
      </c>
      <c r="N214" s="8">
        <v>458</v>
      </c>
      <c r="O214" s="8">
        <v>639</v>
      </c>
      <c r="P214" s="8">
        <v>773</v>
      </c>
      <c r="Q214" s="8">
        <v>644</v>
      </c>
      <c r="R214" s="8">
        <v>799</v>
      </c>
      <c r="S214" s="8">
        <v>871</v>
      </c>
      <c r="T214" s="8">
        <v>583</v>
      </c>
      <c r="U214" s="8">
        <v>473</v>
      </c>
      <c r="V214" s="8">
        <v>566</v>
      </c>
      <c r="W214" s="8">
        <v>643</v>
      </c>
      <c r="X214" s="8">
        <v>767</v>
      </c>
      <c r="Y214" s="8">
        <v>564</v>
      </c>
      <c r="Z214" s="8">
        <v>514</v>
      </c>
      <c r="AA214" s="8">
        <v>311</v>
      </c>
      <c r="AB214" s="8">
        <v>484</v>
      </c>
      <c r="AC214" s="8">
        <v>630</v>
      </c>
      <c r="AD214" s="8">
        <v>583</v>
      </c>
      <c r="AE214" s="8">
        <v>868</v>
      </c>
      <c r="AF214" s="8">
        <v>556</v>
      </c>
      <c r="AG214" s="8">
        <v>525</v>
      </c>
      <c r="AH214" s="8">
        <v>518</v>
      </c>
      <c r="AI214" s="8">
        <v>673</v>
      </c>
      <c r="AJ214" s="8">
        <v>878</v>
      </c>
      <c r="AK214" s="8">
        <v>553</v>
      </c>
      <c r="AL214" s="8">
        <v>803</v>
      </c>
      <c r="AM214" s="8">
        <v>1150</v>
      </c>
      <c r="AN214" s="8">
        <v>840</v>
      </c>
      <c r="AO214" s="8">
        <v>808</v>
      </c>
      <c r="AP214" s="8">
        <v>879</v>
      </c>
      <c r="AQ214" s="8">
        <v>658</v>
      </c>
      <c r="AR214" s="8">
        <v>506</v>
      </c>
      <c r="AS214" s="8">
        <v>741</v>
      </c>
      <c r="AT214" s="8">
        <v>722</v>
      </c>
      <c r="AU214" s="8">
        <v>769</v>
      </c>
      <c r="AV214" s="8">
        <v>490</v>
      </c>
      <c r="AW214" s="8">
        <v>702</v>
      </c>
      <c r="AX214" s="8">
        <v>740</v>
      </c>
      <c r="AY214" s="8">
        <v>813</v>
      </c>
      <c r="AZ214" s="8">
        <v>621</v>
      </c>
      <c r="BA214" s="8">
        <v>874</v>
      </c>
      <c r="BB214" s="8">
        <v>810</v>
      </c>
      <c r="BC214" s="8">
        <v>685</v>
      </c>
      <c r="BD214" s="8">
        <v>680</v>
      </c>
      <c r="BE214" s="8">
        <v>611</v>
      </c>
      <c r="BF214" s="8">
        <v>749</v>
      </c>
      <c r="BG214" s="8">
        <v>683</v>
      </c>
      <c r="BH214" s="8">
        <v>493</v>
      </c>
      <c r="BI214" s="8">
        <v>668</v>
      </c>
      <c r="BJ214" s="8">
        <v>686</v>
      </c>
      <c r="BK214" s="8">
        <v>594</v>
      </c>
      <c r="BL214" s="8">
        <v>637</v>
      </c>
      <c r="BM214" s="8">
        <v>571</v>
      </c>
      <c r="BN214" s="8">
        <v>581</v>
      </c>
      <c r="BO214" s="8">
        <v>574</v>
      </c>
      <c r="BP214" s="8">
        <v>705</v>
      </c>
      <c r="BQ214" s="8">
        <v>717</v>
      </c>
      <c r="BR214" s="8">
        <v>793</v>
      </c>
      <c r="BS214" s="8">
        <v>577</v>
      </c>
      <c r="BT214" s="8">
        <v>699</v>
      </c>
      <c r="BU214" s="8">
        <v>478</v>
      </c>
      <c r="BV214" s="8">
        <v>628</v>
      </c>
      <c r="BW214" s="8">
        <v>720</v>
      </c>
      <c r="BX214" s="8">
        <v>684</v>
      </c>
      <c r="BY214" s="8">
        <v>665</v>
      </c>
      <c r="BZ214" s="8">
        <v>619</v>
      </c>
      <c r="CA214" s="8">
        <v>736</v>
      </c>
      <c r="CB214" s="8">
        <v>555</v>
      </c>
      <c r="CC214" s="8">
        <v>414</v>
      </c>
      <c r="CD214" s="8">
        <v>619</v>
      </c>
      <c r="CE214" s="8">
        <v>575</v>
      </c>
      <c r="CF214" s="8">
        <v>593</v>
      </c>
      <c r="CG214" s="8">
        <v>712</v>
      </c>
      <c r="CH214" s="8">
        <v>661</v>
      </c>
      <c r="CJ214" s="9"/>
      <c r="CK214" s="9"/>
      <c r="CL214" s="9"/>
      <c r="CM214" s="9"/>
      <c r="CN214" s="9"/>
      <c r="CO214" s="9"/>
      <c r="CP214" s="9"/>
      <c r="CQ214" s="9"/>
      <c r="CR214" s="9"/>
      <c r="CS214" s="9"/>
      <c r="CT214" s="9"/>
      <c r="CU214" s="9"/>
      <c r="CV214" s="9"/>
      <c r="CW214" s="9"/>
      <c r="CX214" s="9"/>
      <c r="CY214" s="9"/>
      <c r="CZ214" s="9"/>
      <c r="DA214" s="9"/>
      <c r="DB214" s="9"/>
      <c r="DC214" s="9"/>
      <c r="DD214" s="9"/>
      <c r="DE214" s="9"/>
      <c r="DF214" s="9"/>
      <c r="DG214" s="9"/>
      <c r="DH214" s="9"/>
      <c r="DI214" s="9"/>
      <c r="DJ214" s="9"/>
      <c r="DK214" s="9"/>
      <c r="DL214" s="9"/>
      <c r="DM214" s="9"/>
      <c r="DN214" s="9"/>
      <c r="DO214" s="9"/>
      <c r="DP214" s="9"/>
      <c r="DQ214" s="9"/>
      <c r="DR214" s="9"/>
      <c r="DS214" s="9"/>
      <c r="DT214" s="9"/>
      <c r="DU214" s="9"/>
      <c r="DV214" s="9"/>
      <c r="DW214" s="9"/>
      <c r="DX214" s="9"/>
      <c r="DY214" s="9"/>
      <c r="DZ214" s="9"/>
      <c r="EA214" s="9"/>
      <c r="EB214" s="9"/>
      <c r="EC214" s="9"/>
      <c r="ED214" s="9"/>
      <c r="EE214" s="9"/>
      <c r="EF214" s="9"/>
      <c r="EG214" s="9"/>
      <c r="EH214" s="9"/>
      <c r="EI214" s="9"/>
      <c r="EJ214" s="9"/>
      <c r="EK214" s="9"/>
      <c r="EL214" s="9"/>
      <c r="EM214" s="9"/>
      <c r="EN214" s="9"/>
      <c r="EO214" s="9"/>
      <c r="EP214" s="9"/>
      <c r="EQ214" s="9"/>
      <c r="ER214" s="9"/>
      <c r="ES214" s="9"/>
      <c r="ET214" s="9"/>
      <c r="EU214" s="9"/>
      <c r="EV214" s="9"/>
      <c r="EW214" s="9"/>
      <c r="EX214" s="9"/>
      <c r="EY214" s="9"/>
      <c r="EZ214" s="9"/>
      <c r="FA214" s="9"/>
      <c r="FB214" s="9"/>
      <c r="FC214" s="9"/>
      <c r="FD214" s="9"/>
      <c r="FE214" s="9"/>
      <c r="FF214" s="9"/>
      <c r="FG214" s="9"/>
      <c r="FH214" s="9"/>
      <c r="FI214" s="9"/>
    </row>
    <row r="215" spans="1:165" x14ac:dyDescent="0.2">
      <c r="A215" s="1" t="s">
        <v>841</v>
      </c>
      <c r="B215" s="1" t="s">
        <v>842</v>
      </c>
      <c r="C215" s="1" t="s">
        <v>837</v>
      </c>
      <c r="D215" s="1" t="str">
        <f>HYPERLINK("http://eros.fiehnlab.ucdavis.edu:8080/binbase-compound/bin/show/330990?db=rtx5","330990")</f>
        <v>330990</v>
      </c>
      <c r="E215" s="1" t="s">
        <v>843</v>
      </c>
      <c r="F215" s="1" t="s">
        <v>184</v>
      </c>
      <c r="G215" s="1" t="s">
        <v>184</v>
      </c>
      <c r="H215" s="1"/>
      <c r="I215" s="8">
        <v>573</v>
      </c>
      <c r="J215" s="8">
        <v>1359</v>
      </c>
      <c r="K215" s="8">
        <v>559</v>
      </c>
      <c r="L215" s="8">
        <v>709</v>
      </c>
      <c r="M215" s="8">
        <v>1414</v>
      </c>
      <c r="N215" s="8">
        <v>336</v>
      </c>
      <c r="O215" s="8">
        <v>1300</v>
      </c>
      <c r="P215" s="8">
        <v>481</v>
      </c>
      <c r="Q215" s="8">
        <v>1068</v>
      </c>
      <c r="R215" s="8">
        <v>758</v>
      </c>
      <c r="S215" s="8">
        <v>1388</v>
      </c>
      <c r="T215" s="8">
        <v>1322</v>
      </c>
      <c r="U215" s="8">
        <v>1163</v>
      </c>
      <c r="V215" s="8">
        <v>429</v>
      </c>
      <c r="W215" s="8">
        <v>1180</v>
      </c>
      <c r="X215" s="8">
        <v>226</v>
      </c>
      <c r="Y215" s="8">
        <v>821</v>
      </c>
      <c r="Z215" s="8">
        <v>1056</v>
      </c>
      <c r="AA215" s="8">
        <v>679</v>
      </c>
      <c r="AB215" s="8">
        <v>1251</v>
      </c>
      <c r="AC215" s="8">
        <v>1151</v>
      </c>
      <c r="AD215" s="8">
        <v>1199</v>
      </c>
      <c r="AE215" s="8">
        <v>881</v>
      </c>
      <c r="AF215" s="8">
        <v>751</v>
      </c>
      <c r="AG215" s="8">
        <v>136</v>
      </c>
      <c r="AH215" s="8">
        <v>823</v>
      </c>
      <c r="AI215" s="8">
        <v>981</v>
      </c>
      <c r="AJ215" s="8">
        <v>691</v>
      </c>
      <c r="AK215" s="8">
        <v>1069</v>
      </c>
      <c r="AL215" s="8">
        <v>654</v>
      </c>
      <c r="AM215" s="8">
        <v>799</v>
      </c>
      <c r="AN215" s="8">
        <v>1405</v>
      </c>
      <c r="AO215" s="8">
        <v>286</v>
      </c>
      <c r="AP215" s="8">
        <v>1285</v>
      </c>
      <c r="AQ215" s="8">
        <v>1224</v>
      </c>
      <c r="AR215" s="8">
        <v>926</v>
      </c>
      <c r="AS215" s="8">
        <v>278</v>
      </c>
      <c r="AT215" s="8">
        <v>1226</v>
      </c>
      <c r="AU215" s="8">
        <v>709</v>
      </c>
      <c r="AV215" s="8">
        <v>851</v>
      </c>
      <c r="AW215" s="8">
        <v>1315</v>
      </c>
      <c r="AX215" s="8">
        <v>1184</v>
      </c>
      <c r="AY215" s="8">
        <v>1669</v>
      </c>
      <c r="AZ215" s="8">
        <v>309</v>
      </c>
      <c r="BA215" s="8">
        <v>840</v>
      </c>
      <c r="BB215" s="8">
        <v>1566</v>
      </c>
      <c r="BC215" s="8">
        <v>329</v>
      </c>
      <c r="BD215" s="8">
        <v>1213</v>
      </c>
      <c r="BE215" s="8">
        <v>1436</v>
      </c>
      <c r="BF215" s="8">
        <v>1138</v>
      </c>
      <c r="BG215" s="8">
        <v>1465</v>
      </c>
      <c r="BH215" s="8">
        <v>959</v>
      </c>
      <c r="BI215" s="8">
        <v>1071</v>
      </c>
      <c r="BJ215" s="8">
        <v>849</v>
      </c>
      <c r="BK215" s="8">
        <v>1274</v>
      </c>
      <c r="BL215" s="8">
        <v>1578</v>
      </c>
      <c r="BM215" s="8">
        <v>1727</v>
      </c>
      <c r="BN215" s="8">
        <v>328</v>
      </c>
      <c r="BO215" s="8">
        <v>1349</v>
      </c>
      <c r="BP215" s="8">
        <v>1396</v>
      </c>
      <c r="BQ215" s="8">
        <v>505</v>
      </c>
      <c r="BR215" s="8">
        <v>1537</v>
      </c>
      <c r="BS215" s="8">
        <v>607</v>
      </c>
      <c r="BT215" s="8">
        <v>607</v>
      </c>
      <c r="BU215" s="8">
        <v>569</v>
      </c>
      <c r="BV215" s="8">
        <v>1028</v>
      </c>
      <c r="BW215" s="8">
        <v>1613</v>
      </c>
      <c r="BX215" s="8">
        <v>1327</v>
      </c>
      <c r="BY215" s="8">
        <v>566</v>
      </c>
      <c r="BZ215" s="8">
        <v>171</v>
      </c>
      <c r="CA215" s="8">
        <v>1036</v>
      </c>
      <c r="CB215" s="8">
        <v>89</v>
      </c>
      <c r="CC215" s="8">
        <v>641</v>
      </c>
      <c r="CD215" s="8">
        <v>1083</v>
      </c>
      <c r="CE215" s="8">
        <v>1174</v>
      </c>
      <c r="CF215" s="8">
        <v>507</v>
      </c>
      <c r="CG215" s="8">
        <v>238</v>
      </c>
      <c r="CH215" s="8">
        <v>1053</v>
      </c>
      <c r="CJ215" s="9"/>
      <c r="CK215" s="9"/>
      <c r="CL215" s="9"/>
      <c r="CM215" s="9"/>
      <c r="CN215" s="9"/>
      <c r="CO215" s="9"/>
      <c r="CP215" s="9"/>
      <c r="CQ215" s="9"/>
      <c r="CR215" s="9"/>
      <c r="CS215" s="9"/>
      <c r="CT215" s="9"/>
      <c r="CU215" s="9"/>
      <c r="CV215" s="9"/>
      <c r="CW215" s="9"/>
      <c r="CX215" s="9"/>
      <c r="CY215" s="9"/>
      <c r="CZ215" s="9"/>
      <c r="DA215" s="9"/>
      <c r="DB215" s="9"/>
      <c r="DC215" s="9"/>
      <c r="DD215" s="9"/>
      <c r="DE215" s="9"/>
      <c r="DF215" s="9"/>
      <c r="DG215" s="9"/>
      <c r="DH215" s="9"/>
      <c r="DI215" s="9"/>
      <c r="DJ215" s="9"/>
      <c r="DK215" s="9"/>
      <c r="DL215" s="9"/>
      <c r="DM215" s="9"/>
      <c r="DN215" s="9"/>
      <c r="DO215" s="9"/>
      <c r="DP215" s="9"/>
      <c r="DQ215" s="9"/>
      <c r="DR215" s="9"/>
      <c r="DS215" s="9"/>
      <c r="DT215" s="9"/>
      <c r="DU215" s="9"/>
      <c r="DV215" s="9"/>
      <c r="DW215" s="9"/>
      <c r="DX215" s="9"/>
      <c r="DY215" s="9"/>
      <c r="DZ215" s="9"/>
      <c r="EA215" s="9"/>
      <c r="EB215" s="9"/>
      <c r="EC215" s="9"/>
      <c r="ED215" s="9"/>
      <c r="EE215" s="9"/>
      <c r="EF215" s="9"/>
      <c r="EG215" s="9"/>
      <c r="EH215" s="9"/>
      <c r="EI215" s="9"/>
      <c r="EJ215" s="9"/>
      <c r="EK215" s="9"/>
      <c r="EL215" s="9"/>
      <c r="EM215" s="9"/>
      <c r="EN215" s="9"/>
      <c r="EO215" s="9"/>
      <c r="EP215" s="9"/>
      <c r="EQ215" s="9"/>
      <c r="ER215" s="9"/>
      <c r="ES215" s="9"/>
      <c r="ET215" s="9"/>
      <c r="EU215" s="9"/>
      <c r="EV215" s="9"/>
      <c r="EW215" s="9"/>
      <c r="EX215" s="9"/>
      <c r="EY215" s="9"/>
      <c r="EZ215" s="9"/>
      <c r="FA215" s="9"/>
      <c r="FB215" s="9"/>
      <c r="FC215" s="9"/>
      <c r="FD215" s="9"/>
      <c r="FE215" s="9"/>
      <c r="FF215" s="9"/>
      <c r="FG215" s="9"/>
      <c r="FH215" s="9"/>
      <c r="FI215" s="9"/>
    </row>
    <row r="216" spans="1:165" x14ac:dyDescent="0.2">
      <c r="A216" s="1" t="s">
        <v>1383</v>
      </c>
      <c r="B216" s="1" t="s">
        <v>1384</v>
      </c>
      <c r="C216" s="1" t="s">
        <v>341</v>
      </c>
      <c r="D216" s="1" t="str">
        <f>HYPERLINK("http://eros.fiehnlab.ucdavis.edu:8080/binbase-compound/bin/show/200411?db=rtx5","200411")</f>
        <v>200411</v>
      </c>
      <c r="E216" s="1" t="s">
        <v>1385</v>
      </c>
      <c r="F216" s="1" t="s">
        <v>184</v>
      </c>
      <c r="G216" s="1" t="s">
        <v>184</v>
      </c>
      <c r="H216" s="1"/>
      <c r="I216" s="8">
        <v>1241</v>
      </c>
      <c r="J216" s="8">
        <v>605</v>
      </c>
      <c r="K216" s="8">
        <v>1034</v>
      </c>
      <c r="L216" s="8">
        <v>1213</v>
      </c>
      <c r="M216" s="8">
        <v>1202</v>
      </c>
      <c r="N216" s="8">
        <v>1699</v>
      </c>
      <c r="O216" s="8">
        <v>828</v>
      </c>
      <c r="P216" s="8">
        <v>1400</v>
      </c>
      <c r="Q216" s="8">
        <v>542</v>
      </c>
      <c r="R216" s="8">
        <v>802</v>
      </c>
      <c r="S216" s="8">
        <v>992</v>
      </c>
      <c r="T216" s="8">
        <v>2065</v>
      </c>
      <c r="U216" s="8">
        <v>858</v>
      </c>
      <c r="V216" s="8">
        <v>900</v>
      </c>
      <c r="W216" s="8">
        <v>277</v>
      </c>
      <c r="X216" s="8">
        <v>989</v>
      </c>
      <c r="Y216" s="8">
        <v>1181</v>
      </c>
      <c r="Z216" s="8">
        <v>475</v>
      </c>
      <c r="AA216" s="8">
        <v>290</v>
      </c>
      <c r="AB216" s="8">
        <v>962</v>
      </c>
      <c r="AC216" s="8">
        <v>489</v>
      </c>
      <c r="AD216" s="8">
        <v>767</v>
      </c>
      <c r="AE216" s="8">
        <v>1007</v>
      </c>
      <c r="AF216" s="8">
        <v>475</v>
      </c>
      <c r="AG216" s="8">
        <v>475</v>
      </c>
      <c r="AH216" s="8">
        <v>515</v>
      </c>
      <c r="AI216" s="8">
        <v>733</v>
      </c>
      <c r="AJ216" s="8">
        <v>523</v>
      </c>
      <c r="AK216" s="8">
        <v>380</v>
      </c>
      <c r="AL216" s="8">
        <v>616</v>
      </c>
      <c r="AM216" s="8">
        <v>1202</v>
      </c>
      <c r="AN216" s="8">
        <v>1016</v>
      </c>
      <c r="AO216" s="8">
        <v>1158</v>
      </c>
      <c r="AP216" s="8">
        <v>916</v>
      </c>
      <c r="AQ216" s="8">
        <v>988</v>
      </c>
      <c r="AR216" s="8">
        <v>1318</v>
      </c>
      <c r="AS216" s="8">
        <v>1040</v>
      </c>
      <c r="AT216" s="8">
        <v>911</v>
      </c>
      <c r="AU216" s="8">
        <v>835</v>
      </c>
      <c r="AV216" s="8">
        <v>562</v>
      </c>
      <c r="AW216" s="8">
        <v>1167</v>
      </c>
      <c r="AX216" s="8">
        <v>1510</v>
      </c>
      <c r="AY216" s="8">
        <v>957</v>
      </c>
      <c r="AZ216" s="8">
        <v>1239</v>
      </c>
      <c r="BA216" s="8">
        <v>567</v>
      </c>
      <c r="BB216" s="8">
        <v>564</v>
      </c>
      <c r="BC216" s="8">
        <v>599</v>
      </c>
      <c r="BD216" s="8">
        <v>569</v>
      </c>
      <c r="BE216" s="8">
        <v>602</v>
      </c>
      <c r="BF216" s="8">
        <v>473</v>
      </c>
      <c r="BG216" s="8">
        <v>1812</v>
      </c>
      <c r="BH216" s="8">
        <v>453</v>
      </c>
      <c r="BI216" s="8">
        <v>675</v>
      </c>
      <c r="BJ216" s="8">
        <v>392</v>
      </c>
      <c r="BK216" s="8">
        <v>537</v>
      </c>
      <c r="BL216" s="8">
        <v>958</v>
      </c>
      <c r="BM216" s="8">
        <v>1232</v>
      </c>
      <c r="BN216" s="8">
        <v>674</v>
      </c>
      <c r="BO216" s="8">
        <v>1075</v>
      </c>
      <c r="BP216" s="8">
        <v>1188</v>
      </c>
      <c r="BQ216" s="8">
        <v>959</v>
      </c>
      <c r="BR216" s="8">
        <v>489</v>
      </c>
      <c r="BS216" s="8">
        <v>427</v>
      </c>
      <c r="BT216" s="8">
        <v>930</v>
      </c>
      <c r="BU216" s="8">
        <v>950</v>
      </c>
      <c r="BV216" s="8">
        <v>395</v>
      </c>
      <c r="BW216" s="8">
        <v>962</v>
      </c>
      <c r="BX216" s="8">
        <v>689</v>
      </c>
      <c r="BY216" s="8">
        <v>532</v>
      </c>
      <c r="BZ216" s="8">
        <v>747</v>
      </c>
      <c r="CA216" s="8">
        <v>648</v>
      </c>
      <c r="CB216" s="8">
        <v>371</v>
      </c>
      <c r="CC216" s="8">
        <v>417</v>
      </c>
      <c r="CD216" s="8">
        <v>544</v>
      </c>
      <c r="CE216" s="8">
        <v>408</v>
      </c>
      <c r="CF216" s="8">
        <v>1026</v>
      </c>
      <c r="CG216" s="8">
        <v>424</v>
      </c>
      <c r="CH216" s="8">
        <v>663</v>
      </c>
      <c r="CJ216" s="9"/>
      <c r="CK216" s="9"/>
      <c r="CL216" s="9"/>
      <c r="CM216" s="9"/>
      <c r="CN216" s="9"/>
      <c r="CO216" s="9"/>
      <c r="CP216" s="9"/>
      <c r="CQ216" s="9"/>
      <c r="CR216" s="9"/>
      <c r="CS216" s="9"/>
      <c r="CT216" s="9"/>
      <c r="CU216" s="9"/>
      <c r="CV216" s="9"/>
      <c r="CW216" s="9"/>
      <c r="CX216" s="9"/>
      <c r="CY216" s="9"/>
      <c r="CZ216" s="9"/>
      <c r="DA216" s="9"/>
      <c r="DB216" s="9"/>
      <c r="DC216" s="9"/>
      <c r="DD216" s="9"/>
      <c r="DE216" s="9"/>
      <c r="DF216" s="9"/>
      <c r="DG216" s="9"/>
      <c r="DH216" s="9"/>
      <c r="DI216" s="9"/>
      <c r="DJ216" s="9"/>
      <c r="DK216" s="9"/>
      <c r="DL216" s="9"/>
      <c r="DM216" s="9"/>
      <c r="DN216" s="9"/>
      <c r="DO216" s="9"/>
      <c r="DP216" s="9"/>
      <c r="DQ216" s="9"/>
      <c r="DR216" s="9"/>
      <c r="DS216" s="9"/>
      <c r="DT216" s="9"/>
      <c r="DU216" s="9"/>
      <c r="DV216" s="9"/>
      <c r="DW216" s="9"/>
      <c r="DX216" s="9"/>
      <c r="DY216" s="9"/>
      <c r="DZ216" s="9"/>
      <c r="EA216" s="9"/>
      <c r="EB216" s="9"/>
      <c r="EC216" s="9"/>
      <c r="ED216" s="9"/>
      <c r="EE216" s="9"/>
      <c r="EF216" s="9"/>
      <c r="EG216" s="9"/>
      <c r="EH216" s="9"/>
      <c r="EI216" s="9"/>
      <c r="EJ216" s="9"/>
      <c r="EK216" s="9"/>
      <c r="EL216" s="9"/>
      <c r="EM216" s="9"/>
      <c r="EN216" s="9"/>
      <c r="EO216" s="9"/>
      <c r="EP216" s="9"/>
      <c r="EQ216" s="9"/>
      <c r="ER216" s="9"/>
      <c r="ES216" s="9"/>
      <c r="ET216" s="9"/>
      <c r="EU216" s="9"/>
      <c r="EV216" s="9"/>
      <c r="EW216" s="9"/>
      <c r="EX216" s="9"/>
      <c r="EY216" s="9"/>
      <c r="EZ216" s="9"/>
      <c r="FA216" s="9"/>
      <c r="FB216" s="9"/>
      <c r="FC216" s="9"/>
      <c r="FD216" s="9"/>
      <c r="FE216" s="9"/>
      <c r="FF216" s="9"/>
      <c r="FG216" s="9"/>
      <c r="FH216" s="9"/>
      <c r="FI216" s="9"/>
    </row>
    <row r="217" spans="1:165" x14ac:dyDescent="0.2">
      <c r="A217" s="1" t="s">
        <v>1406</v>
      </c>
      <c r="B217" s="1" t="s">
        <v>1407</v>
      </c>
      <c r="C217" s="1" t="s">
        <v>394</v>
      </c>
      <c r="D217" s="1" t="str">
        <f>HYPERLINK("http://eros.fiehnlab.ucdavis.edu:8080/binbase-compound/bin/show/199653?db=rtx5","199653")</f>
        <v>199653</v>
      </c>
      <c r="E217" s="1" t="s">
        <v>1408</v>
      </c>
      <c r="F217" s="1" t="s">
        <v>184</v>
      </c>
      <c r="G217" s="1" t="s">
        <v>184</v>
      </c>
      <c r="H217" s="1"/>
      <c r="I217" s="8">
        <v>1238</v>
      </c>
      <c r="J217" s="8">
        <v>638</v>
      </c>
      <c r="K217" s="8">
        <v>553</v>
      </c>
      <c r="L217" s="8">
        <v>842</v>
      </c>
      <c r="M217" s="8">
        <v>1117</v>
      </c>
      <c r="N217" s="8">
        <v>520</v>
      </c>
      <c r="O217" s="8">
        <v>1217</v>
      </c>
      <c r="P217" s="8">
        <v>940</v>
      </c>
      <c r="Q217" s="8">
        <v>1370</v>
      </c>
      <c r="R217" s="8">
        <v>1676</v>
      </c>
      <c r="S217" s="8">
        <v>1507</v>
      </c>
      <c r="T217" s="8">
        <v>931</v>
      </c>
      <c r="U217" s="8">
        <v>1446</v>
      </c>
      <c r="V217" s="8">
        <v>1287</v>
      </c>
      <c r="W217" s="8">
        <v>1192</v>
      </c>
      <c r="X217" s="8">
        <v>1232</v>
      </c>
      <c r="Y217" s="8">
        <v>1067</v>
      </c>
      <c r="Z217" s="8">
        <v>924</v>
      </c>
      <c r="AA217" s="8">
        <v>908</v>
      </c>
      <c r="AB217" s="8">
        <v>989</v>
      </c>
      <c r="AC217" s="8">
        <v>1334</v>
      </c>
      <c r="AD217" s="8">
        <v>858</v>
      </c>
      <c r="AE217" s="8">
        <v>1468</v>
      </c>
      <c r="AF217" s="8">
        <v>885</v>
      </c>
      <c r="AG217" s="8">
        <v>1075</v>
      </c>
      <c r="AH217" s="8">
        <v>615</v>
      </c>
      <c r="AI217" s="8">
        <v>1068</v>
      </c>
      <c r="AJ217" s="8">
        <v>1648</v>
      </c>
      <c r="AK217" s="8">
        <v>825</v>
      </c>
      <c r="AL217" s="8">
        <v>1436</v>
      </c>
      <c r="AM217" s="8">
        <v>1575</v>
      </c>
      <c r="AN217" s="8">
        <v>1775</v>
      </c>
      <c r="AO217" s="8">
        <v>1327</v>
      </c>
      <c r="AP217" s="8">
        <v>1153</v>
      </c>
      <c r="AQ217" s="8">
        <v>1748</v>
      </c>
      <c r="AR217" s="8">
        <v>1307</v>
      </c>
      <c r="AS217" s="8">
        <v>1639</v>
      </c>
      <c r="AT217" s="8">
        <v>1716</v>
      </c>
      <c r="AU217" s="8">
        <v>1034</v>
      </c>
      <c r="AV217" s="8">
        <v>1550</v>
      </c>
      <c r="AW217" s="8">
        <v>2095</v>
      </c>
      <c r="AX217" s="8">
        <v>1576</v>
      </c>
      <c r="AY217" s="8">
        <v>1349</v>
      </c>
      <c r="AZ217" s="8">
        <v>1706</v>
      </c>
      <c r="BA217" s="8">
        <v>1730</v>
      </c>
      <c r="BB217" s="8">
        <v>1971</v>
      </c>
      <c r="BC217" s="8">
        <v>1258</v>
      </c>
      <c r="BD217" s="8">
        <v>1772</v>
      </c>
      <c r="BE217" s="8">
        <v>1514</v>
      </c>
      <c r="BF217" s="8">
        <v>845</v>
      </c>
      <c r="BG217" s="8">
        <v>1237</v>
      </c>
      <c r="BH217" s="8">
        <v>1069</v>
      </c>
      <c r="BI217" s="8">
        <v>1425</v>
      </c>
      <c r="BJ217" s="8">
        <v>726</v>
      </c>
      <c r="BK217" s="8">
        <v>1131</v>
      </c>
      <c r="BL217" s="8">
        <v>700</v>
      </c>
      <c r="BM217" s="8">
        <v>1474</v>
      </c>
      <c r="BN217" s="8">
        <v>1283</v>
      </c>
      <c r="BO217" s="8">
        <v>1664</v>
      </c>
      <c r="BP217" s="8">
        <v>1747</v>
      </c>
      <c r="BQ217" s="8">
        <v>1649</v>
      </c>
      <c r="BR217" s="8">
        <v>1020</v>
      </c>
      <c r="BS217" s="8">
        <v>630</v>
      </c>
      <c r="BT217" s="8">
        <v>1196</v>
      </c>
      <c r="BU217" s="8">
        <v>1416</v>
      </c>
      <c r="BV217" s="8">
        <v>1485</v>
      </c>
      <c r="BW217" s="8">
        <v>1089</v>
      </c>
      <c r="BX217" s="8">
        <v>1617</v>
      </c>
      <c r="BY217" s="8">
        <v>1126</v>
      </c>
      <c r="BZ217" s="8">
        <v>1669</v>
      </c>
      <c r="CA217" s="8">
        <v>1131</v>
      </c>
      <c r="CB217" s="8">
        <v>1150</v>
      </c>
      <c r="CC217" s="8">
        <v>1124</v>
      </c>
      <c r="CD217" s="8">
        <v>859</v>
      </c>
      <c r="CE217" s="8">
        <v>999</v>
      </c>
      <c r="CF217" s="8">
        <v>602</v>
      </c>
      <c r="CG217" s="8">
        <v>1425</v>
      </c>
      <c r="CH217" s="8">
        <v>1276</v>
      </c>
      <c r="CJ217" s="9"/>
      <c r="CK217" s="9"/>
      <c r="CL217" s="9"/>
      <c r="CM217" s="9"/>
      <c r="CN217" s="9"/>
      <c r="CO217" s="9"/>
      <c r="CP217" s="9"/>
      <c r="CQ217" s="9"/>
      <c r="CR217" s="9"/>
      <c r="CS217" s="9"/>
      <c r="CT217" s="9"/>
      <c r="CU217" s="9"/>
      <c r="CV217" s="9"/>
      <c r="CW217" s="9"/>
      <c r="CX217" s="9"/>
      <c r="CY217" s="9"/>
      <c r="CZ217" s="9"/>
      <c r="DA217" s="9"/>
      <c r="DB217" s="9"/>
      <c r="DC217" s="9"/>
      <c r="DD217" s="9"/>
      <c r="DE217" s="9"/>
      <c r="DF217" s="9"/>
      <c r="DG217" s="9"/>
      <c r="DH217" s="9"/>
      <c r="DI217" s="9"/>
      <c r="DJ217" s="9"/>
      <c r="DK217" s="9"/>
      <c r="DL217" s="9"/>
      <c r="DM217" s="9"/>
      <c r="DN217" s="9"/>
      <c r="DO217" s="9"/>
      <c r="DP217" s="9"/>
      <c r="DQ217" s="9"/>
      <c r="DR217" s="9"/>
      <c r="DS217" s="9"/>
      <c r="DT217" s="9"/>
      <c r="DU217" s="9"/>
      <c r="DV217" s="9"/>
      <c r="DW217" s="9"/>
      <c r="DX217" s="9"/>
      <c r="DY217" s="9"/>
      <c r="DZ217" s="9"/>
      <c r="EA217" s="9"/>
      <c r="EB217" s="9"/>
      <c r="EC217" s="9"/>
      <c r="ED217" s="9"/>
      <c r="EE217" s="9"/>
      <c r="EF217" s="9"/>
      <c r="EG217" s="9"/>
      <c r="EH217" s="9"/>
      <c r="EI217" s="9"/>
      <c r="EJ217" s="9"/>
      <c r="EK217" s="9"/>
      <c r="EL217" s="9"/>
      <c r="EM217" s="9"/>
      <c r="EN217" s="9"/>
      <c r="EO217" s="9"/>
      <c r="EP217" s="9"/>
      <c r="EQ217" s="9"/>
      <c r="ER217" s="9"/>
      <c r="ES217" s="9"/>
      <c r="ET217" s="9"/>
      <c r="EU217" s="9"/>
      <c r="EV217" s="9"/>
      <c r="EW217" s="9"/>
      <c r="EX217" s="9"/>
      <c r="EY217" s="9"/>
      <c r="EZ217" s="9"/>
      <c r="FA217" s="9"/>
      <c r="FB217" s="9"/>
      <c r="FC217" s="9"/>
      <c r="FD217" s="9"/>
      <c r="FE217" s="9"/>
      <c r="FF217" s="9"/>
      <c r="FG217" s="9"/>
      <c r="FH217" s="9"/>
      <c r="FI217" s="9"/>
    </row>
    <row r="218" spans="1:165" x14ac:dyDescent="0.2">
      <c r="A218" s="1" t="s">
        <v>833</v>
      </c>
      <c r="B218" s="1" t="s">
        <v>834</v>
      </c>
      <c r="C218" s="1" t="s">
        <v>835</v>
      </c>
      <c r="D218" s="1" t="str">
        <f>HYPERLINK("http://eros.fiehnlab.ucdavis.edu:8080/binbase-compound/bin/show/331132?db=rtx5","331132")</f>
        <v>331132</v>
      </c>
      <c r="E218" s="1" t="s">
        <v>836</v>
      </c>
      <c r="F218" s="1" t="s">
        <v>184</v>
      </c>
      <c r="G218" s="1" t="s">
        <v>184</v>
      </c>
      <c r="H218" s="1"/>
      <c r="I218" s="8">
        <v>805</v>
      </c>
      <c r="J218" s="8">
        <v>286</v>
      </c>
      <c r="K218" s="8">
        <v>720</v>
      </c>
      <c r="L218" s="8">
        <v>530</v>
      </c>
      <c r="M218" s="8">
        <v>493</v>
      </c>
      <c r="N218" s="8">
        <v>603</v>
      </c>
      <c r="O218" s="8">
        <v>292</v>
      </c>
      <c r="P218" s="8">
        <v>701</v>
      </c>
      <c r="Q218" s="8">
        <v>386</v>
      </c>
      <c r="R218" s="8">
        <v>418</v>
      </c>
      <c r="S218" s="8">
        <v>682</v>
      </c>
      <c r="T218" s="8">
        <v>258</v>
      </c>
      <c r="U218" s="8">
        <v>324</v>
      </c>
      <c r="V218" s="8">
        <v>149</v>
      </c>
      <c r="W218" s="8">
        <v>582</v>
      </c>
      <c r="X218" s="8">
        <v>635</v>
      </c>
      <c r="Y218" s="8">
        <v>152</v>
      </c>
      <c r="Z218" s="8">
        <v>107</v>
      </c>
      <c r="AA218" s="8">
        <v>476</v>
      </c>
      <c r="AB218" s="8">
        <v>627</v>
      </c>
      <c r="AC218" s="8">
        <v>550</v>
      </c>
      <c r="AD218" s="8">
        <v>530</v>
      </c>
      <c r="AE218" s="8">
        <v>741</v>
      </c>
      <c r="AF218" s="8">
        <v>420</v>
      </c>
      <c r="AG218" s="8">
        <v>268</v>
      </c>
      <c r="AH218" s="8">
        <v>210</v>
      </c>
      <c r="AI218" s="8">
        <v>811</v>
      </c>
      <c r="AJ218" s="8">
        <v>302</v>
      </c>
      <c r="AK218" s="8">
        <v>84</v>
      </c>
      <c r="AL218" s="8">
        <v>866</v>
      </c>
      <c r="AM218" s="8">
        <v>814</v>
      </c>
      <c r="AN218" s="8">
        <v>317</v>
      </c>
      <c r="AO218" s="8">
        <v>788</v>
      </c>
      <c r="AP218" s="8">
        <v>592</v>
      </c>
      <c r="AQ218" s="8">
        <v>490</v>
      </c>
      <c r="AR218" s="8">
        <v>285</v>
      </c>
      <c r="AS218" s="8">
        <v>711</v>
      </c>
      <c r="AT218" s="8">
        <v>581</v>
      </c>
      <c r="AU218" s="8">
        <v>399</v>
      </c>
      <c r="AV218" s="8">
        <v>543</v>
      </c>
      <c r="AW218" s="8">
        <v>599</v>
      </c>
      <c r="AX218" s="8">
        <v>488</v>
      </c>
      <c r="AY218" s="8">
        <v>611</v>
      </c>
      <c r="AZ218" s="8">
        <v>600</v>
      </c>
      <c r="BA218" s="8">
        <v>710</v>
      </c>
      <c r="BB218" s="8">
        <v>325</v>
      </c>
      <c r="BC218" s="8">
        <v>530</v>
      </c>
      <c r="BD218" s="8">
        <v>636</v>
      </c>
      <c r="BE218" s="8">
        <v>617</v>
      </c>
      <c r="BF218" s="8">
        <v>526</v>
      </c>
      <c r="BG218" s="8">
        <v>624</v>
      </c>
      <c r="BH218" s="8">
        <v>157</v>
      </c>
      <c r="BI218" s="8">
        <v>185</v>
      </c>
      <c r="BJ218" s="8">
        <v>541</v>
      </c>
      <c r="BK218" s="8">
        <v>272</v>
      </c>
      <c r="BL218" s="8">
        <v>582</v>
      </c>
      <c r="BM218" s="8">
        <v>133</v>
      </c>
      <c r="BN218" s="8">
        <v>471</v>
      </c>
      <c r="BO218" s="8">
        <v>334</v>
      </c>
      <c r="BP218" s="8">
        <v>107</v>
      </c>
      <c r="BQ218" s="8">
        <v>641</v>
      </c>
      <c r="BR218" s="8">
        <v>206</v>
      </c>
      <c r="BS218" s="8">
        <v>84</v>
      </c>
      <c r="BT218" s="8">
        <v>46</v>
      </c>
      <c r="BU218" s="8">
        <v>150</v>
      </c>
      <c r="BV218" s="8">
        <v>370</v>
      </c>
      <c r="BW218" s="8">
        <v>606</v>
      </c>
      <c r="BX218" s="8">
        <v>540</v>
      </c>
      <c r="BY218" s="8">
        <v>607</v>
      </c>
      <c r="BZ218" s="8">
        <v>637</v>
      </c>
      <c r="CA218" s="8">
        <v>655</v>
      </c>
      <c r="CB218" s="8">
        <v>390</v>
      </c>
      <c r="CC218" s="8">
        <v>414</v>
      </c>
      <c r="CD218" s="8">
        <v>565</v>
      </c>
      <c r="CE218" s="8">
        <v>381</v>
      </c>
      <c r="CF218" s="8">
        <v>551</v>
      </c>
      <c r="CG218" s="8">
        <v>285</v>
      </c>
      <c r="CH218" s="8">
        <v>432</v>
      </c>
      <c r="CJ218" s="9"/>
      <c r="CK218" s="9"/>
      <c r="CL218" s="9"/>
      <c r="CM218" s="9"/>
      <c r="CN218" s="9"/>
      <c r="CO218" s="9"/>
      <c r="CP218" s="9"/>
      <c r="CQ218" s="9"/>
      <c r="CR218" s="9"/>
      <c r="CS218" s="9"/>
      <c r="CT218" s="9"/>
      <c r="CU218" s="9"/>
      <c r="CV218" s="9"/>
      <c r="CW218" s="9"/>
      <c r="CX218" s="9"/>
      <c r="CY218" s="9"/>
      <c r="CZ218" s="9"/>
      <c r="DA218" s="9"/>
      <c r="DB218" s="9"/>
      <c r="DC218" s="9"/>
      <c r="DD218" s="9"/>
      <c r="DE218" s="9"/>
      <c r="DF218" s="9"/>
      <c r="DG218" s="9"/>
      <c r="DH218" s="9"/>
      <c r="DI218" s="9"/>
      <c r="DJ218" s="9"/>
      <c r="DK218" s="9"/>
      <c r="DL218" s="9"/>
      <c r="DM218" s="9"/>
      <c r="DN218" s="9"/>
      <c r="DO218" s="9"/>
      <c r="DP218" s="9"/>
      <c r="DQ218" s="9"/>
      <c r="DR218" s="9"/>
      <c r="DS218" s="9"/>
      <c r="DT218" s="9"/>
      <c r="DU218" s="9"/>
      <c r="DV218" s="9"/>
      <c r="DW218" s="9"/>
      <c r="DX218" s="9"/>
      <c r="DY218" s="9"/>
      <c r="DZ218" s="9"/>
      <c r="EA218" s="9"/>
      <c r="EB218" s="9"/>
      <c r="EC218" s="9"/>
      <c r="ED218" s="9"/>
      <c r="EE218" s="9"/>
      <c r="EF218" s="9"/>
      <c r="EG218" s="9"/>
      <c r="EH218" s="9"/>
      <c r="EI218" s="9"/>
      <c r="EJ218" s="9"/>
      <c r="EK218" s="9"/>
      <c r="EL218" s="9"/>
      <c r="EM218" s="9"/>
      <c r="EN218" s="9"/>
      <c r="EO218" s="9"/>
      <c r="EP218" s="9"/>
      <c r="EQ218" s="9"/>
      <c r="ER218" s="9"/>
      <c r="ES218" s="9"/>
      <c r="ET218" s="9"/>
      <c r="EU218" s="9"/>
      <c r="EV218" s="9"/>
      <c r="EW218" s="9"/>
      <c r="EX218" s="9"/>
      <c r="EY218" s="9"/>
      <c r="EZ218" s="9"/>
      <c r="FA218" s="9"/>
      <c r="FB218" s="9"/>
      <c r="FC218" s="9"/>
      <c r="FD218" s="9"/>
      <c r="FE218" s="9"/>
      <c r="FF218" s="9"/>
      <c r="FG218" s="9"/>
      <c r="FH218" s="9"/>
      <c r="FI218" s="9"/>
    </row>
    <row r="219" spans="1:165" x14ac:dyDescent="0.2">
      <c r="A219" s="1" t="s">
        <v>838</v>
      </c>
      <c r="B219" s="1" t="s">
        <v>839</v>
      </c>
      <c r="C219" s="1" t="s">
        <v>835</v>
      </c>
      <c r="D219" s="1" t="str">
        <f>HYPERLINK("http://eros.fiehnlab.ucdavis.edu:8080/binbase-compound/bin/show/330991?db=rtx5","330991")</f>
        <v>330991</v>
      </c>
      <c r="E219" s="1" t="s">
        <v>840</v>
      </c>
      <c r="F219" s="1" t="s">
        <v>184</v>
      </c>
      <c r="G219" s="1" t="s">
        <v>184</v>
      </c>
      <c r="H219" s="1"/>
      <c r="I219" s="8">
        <v>369</v>
      </c>
      <c r="J219" s="8">
        <v>427</v>
      </c>
      <c r="K219" s="8">
        <v>697</v>
      </c>
      <c r="L219" s="8">
        <v>121</v>
      </c>
      <c r="M219" s="8">
        <v>58</v>
      </c>
      <c r="N219" s="8">
        <v>464</v>
      </c>
      <c r="O219" s="8">
        <v>599</v>
      </c>
      <c r="P219" s="8">
        <v>575</v>
      </c>
      <c r="Q219" s="8">
        <v>571</v>
      </c>
      <c r="R219" s="8">
        <v>543</v>
      </c>
      <c r="S219" s="8">
        <v>543</v>
      </c>
      <c r="T219" s="8">
        <v>159</v>
      </c>
      <c r="U219" s="8">
        <v>700</v>
      </c>
      <c r="V219" s="8">
        <v>493</v>
      </c>
      <c r="W219" s="8">
        <v>560</v>
      </c>
      <c r="X219" s="8">
        <v>353</v>
      </c>
      <c r="Y219" s="8">
        <v>174</v>
      </c>
      <c r="Z219" s="8">
        <v>528</v>
      </c>
      <c r="AA219" s="8">
        <v>349</v>
      </c>
      <c r="AB219" s="8">
        <v>129</v>
      </c>
      <c r="AC219" s="8">
        <v>286</v>
      </c>
      <c r="AD219" s="8">
        <v>626</v>
      </c>
      <c r="AE219" s="8">
        <v>109</v>
      </c>
      <c r="AF219" s="8">
        <v>277</v>
      </c>
      <c r="AG219" s="8">
        <v>554</v>
      </c>
      <c r="AH219" s="8">
        <v>562</v>
      </c>
      <c r="AI219" s="8">
        <v>98</v>
      </c>
      <c r="AJ219" s="8">
        <v>785</v>
      </c>
      <c r="AK219" s="8">
        <v>446</v>
      </c>
      <c r="AL219" s="8">
        <v>659</v>
      </c>
      <c r="AM219" s="8">
        <v>404</v>
      </c>
      <c r="AN219" s="8">
        <v>671</v>
      </c>
      <c r="AO219" s="8">
        <v>587</v>
      </c>
      <c r="AP219" s="8">
        <v>727</v>
      </c>
      <c r="AQ219" s="8">
        <v>533</v>
      </c>
      <c r="AR219" s="8">
        <v>483</v>
      </c>
      <c r="AS219" s="8">
        <v>292</v>
      </c>
      <c r="AT219" s="8">
        <v>551</v>
      </c>
      <c r="AU219" s="8">
        <v>555</v>
      </c>
      <c r="AV219" s="8">
        <v>710</v>
      </c>
      <c r="AW219" s="8">
        <v>544</v>
      </c>
      <c r="AX219" s="8">
        <v>447</v>
      </c>
      <c r="AY219" s="8">
        <v>247</v>
      </c>
      <c r="AZ219" s="8">
        <v>643</v>
      </c>
      <c r="BA219" s="8">
        <v>407</v>
      </c>
      <c r="BB219" s="8">
        <v>603</v>
      </c>
      <c r="BC219" s="8">
        <v>198</v>
      </c>
      <c r="BD219" s="8">
        <v>285</v>
      </c>
      <c r="BE219" s="8">
        <v>546</v>
      </c>
      <c r="BF219" s="8">
        <v>357</v>
      </c>
      <c r="BG219" s="8">
        <v>159</v>
      </c>
      <c r="BH219" s="8">
        <v>564</v>
      </c>
      <c r="BI219" s="8">
        <v>184</v>
      </c>
      <c r="BJ219" s="8">
        <v>313</v>
      </c>
      <c r="BK219" s="8">
        <v>606</v>
      </c>
      <c r="BL219" s="8">
        <v>943</v>
      </c>
      <c r="BM219" s="8">
        <v>131</v>
      </c>
      <c r="BN219" s="8">
        <v>440</v>
      </c>
      <c r="BO219" s="8">
        <v>503</v>
      </c>
      <c r="BP219" s="8">
        <v>499</v>
      </c>
      <c r="BQ219" s="8">
        <v>608</v>
      </c>
      <c r="BR219" s="8">
        <v>504</v>
      </c>
      <c r="BS219" s="8">
        <v>613</v>
      </c>
      <c r="BT219" s="8">
        <v>530</v>
      </c>
      <c r="BU219" s="8">
        <v>507</v>
      </c>
      <c r="BV219" s="8">
        <v>233</v>
      </c>
      <c r="BW219" s="8">
        <v>585</v>
      </c>
      <c r="BX219" s="8">
        <v>425</v>
      </c>
      <c r="BY219" s="8">
        <v>148</v>
      </c>
      <c r="BZ219" s="8">
        <v>63</v>
      </c>
      <c r="CA219" s="8">
        <v>488</v>
      </c>
      <c r="CB219" s="8">
        <v>392</v>
      </c>
      <c r="CC219" s="8">
        <v>76</v>
      </c>
      <c r="CD219" s="8">
        <v>524</v>
      </c>
      <c r="CE219" s="8">
        <v>73</v>
      </c>
      <c r="CF219" s="8">
        <v>281</v>
      </c>
      <c r="CG219" s="8">
        <v>515</v>
      </c>
      <c r="CH219" s="8">
        <v>131</v>
      </c>
      <c r="CJ219" s="9"/>
      <c r="CK219" s="9"/>
      <c r="CL219" s="9"/>
      <c r="CM219" s="9"/>
      <c r="CN219" s="9"/>
      <c r="CO219" s="9"/>
      <c r="CP219" s="9"/>
      <c r="CQ219" s="9"/>
      <c r="CR219" s="9"/>
      <c r="CS219" s="9"/>
      <c r="CT219" s="9"/>
      <c r="CU219" s="9"/>
      <c r="CV219" s="9"/>
      <c r="CW219" s="9"/>
      <c r="CX219" s="9"/>
      <c r="CY219" s="9"/>
      <c r="CZ219" s="9"/>
      <c r="DA219" s="9"/>
      <c r="DB219" s="9"/>
      <c r="DC219" s="9"/>
      <c r="DD219" s="9"/>
      <c r="DE219" s="9"/>
      <c r="DF219" s="9"/>
      <c r="DG219" s="9"/>
      <c r="DH219" s="9"/>
      <c r="DI219" s="9"/>
      <c r="DJ219" s="9"/>
      <c r="DK219" s="9"/>
      <c r="DL219" s="9"/>
      <c r="DM219" s="9"/>
      <c r="DN219" s="9"/>
      <c r="DO219" s="9"/>
      <c r="DP219" s="9"/>
      <c r="DQ219" s="9"/>
      <c r="DR219" s="9"/>
      <c r="DS219" s="9"/>
      <c r="DT219" s="9"/>
      <c r="DU219" s="9"/>
      <c r="DV219" s="9"/>
      <c r="DW219" s="9"/>
      <c r="DX219" s="9"/>
      <c r="DY219" s="9"/>
      <c r="DZ219" s="9"/>
      <c r="EA219" s="9"/>
      <c r="EB219" s="9"/>
      <c r="EC219" s="9"/>
      <c r="ED219" s="9"/>
      <c r="EE219" s="9"/>
      <c r="EF219" s="9"/>
      <c r="EG219" s="9"/>
      <c r="EH219" s="9"/>
      <c r="EI219" s="9"/>
      <c r="EJ219" s="9"/>
      <c r="EK219" s="9"/>
      <c r="EL219" s="9"/>
      <c r="EM219" s="9"/>
      <c r="EN219" s="9"/>
      <c r="EO219" s="9"/>
      <c r="EP219" s="9"/>
      <c r="EQ219" s="9"/>
      <c r="ER219" s="9"/>
      <c r="ES219" s="9"/>
      <c r="ET219" s="9"/>
      <c r="EU219" s="9"/>
      <c r="EV219" s="9"/>
      <c r="EW219" s="9"/>
      <c r="EX219" s="9"/>
      <c r="EY219" s="9"/>
      <c r="EZ219" s="9"/>
      <c r="FA219" s="9"/>
      <c r="FB219" s="9"/>
      <c r="FC219" s="9"/>
      <c r="FD219" s="9"/>
      <c r="FE219" s="9"/>
      <c r="FF219" s="9"/>
      <c r="FG219" s="9"/>
      <c r="FH219" s="9"/>
      <c r="FI219" s="9"/>
    </row>
    <row r="220" spans="1:165" x14ac:dyDescent="0.2">
      <c r="A220" s="1" t="s">
        <v>1081</v>
      </c>
      <c r="B220" s="1" t="s">
        <v>1082</v>
      </c>
      <c r="C220" s="1" t="s">
        <v>962</v>
      </c>
      <c r="D220" s="1" t="str">
        <f>HYPERLINK("http://eros.fiehnlab.ucdavis.edu:8080/binbase-compound/bin/show/238320?db=rtx5","238320")</f>
        <v>238320</v>
      </c>
      <c r="E220" s="1" t="s">
        <v>1083</v>
      </c>
      <c r="F220" s="1" t="s">
        <v>184</v>
      </c>
      <c r="G220" s="1" t="s">
        <v>184</v>
      </c>
      <c r="H220" s="1"/>
      <c r="I220" s="8">
        <v>2154</v>
      </c>
      <c r="J220" s="8">
        <v>1332</v>
      </c>
      <c r="K220" s="8">
        <v>1890</v>
      </c>
      <c r="L220" s="8">
        <v>1660</v>
      </c>
      <c r="M220" s="8">
        <v>2566</v>
      </c>
      <c r="N220" s="8">
        <v>2504</v>
      </c>
      <c r="O220" s="8">
        <v>1258</v>
      </c>
      <c r="P220" s="8">
        <v>2071</v>
      </c>
      <c r="Q220" s="8">
        <v>2401</v>
      </c>
      <c r="R220" s="8">
        <v>2394</v>
      </c>
      <c r="S220" s="8">
        <v>2531</v>
      </c>
      <c r="T220" s="8">
        <v>2187</v>
      </c>
      <c r="U220" s="8">
        <v>1775</v>
      </c>
      <c r="V220" s="8">
        <v>1631</v>
      </c>
      <c r="W220" s="8">
        <v>2241</v>
      </c>
      <c r="X220" s="8">
        <v>2508</v>
      </c>
      <c r="Y220" s="8">
        <v>1908</v>
      </c>
      <c r="Z220" s="8">
        <v>2330</v>
      </c>
      <c r="AA220" s="8">
        <v>870</v>
      </c>
      <c r="AB220" s="8">
        <v>1749</v>
      </c>
      <c r="AC220" s="8">
        <v>1508</v>
      </c>
      <c r="AD220" s="8">
        <v>1710</v>
      </c>
      <c r="AE220" s="8">
        <v>3189</v>
      </c>
      <c r="AF220" s="8">
        <v>1742</v>
      </c>
      <c r="AG220" s="8">
        <v>1383</v>
      </c>
      <c r="AH220" s="8">
        <v>1484</v>
      </c>
      <c r="AI220" s="8">
        <v>1432</v>
      </c>
      <c r="AJ220" s="8">
        <v>2252</v>
      </c>
      <c r="AK220" s="8">
        <v>1970</v>
      </c>
      <c r="AL220" s="8">
        <v>2660</v>
      </c>
      <c r="AM220" s="8">
        <v>2286</v>
      </c>
      <c r="AN220" s="8">
        <v>2069</v>
      </c>
      <c r="AO220" s="8">
        <v>2140</v>
      </c>
      <c r="AP220" s="8">
        <v>3133</v>
      </c>
      <c r="AQ220" s="8">
        <v>2891</v>
      </c>
      <c r="AR220" s="8">
        <v>2013</v>
      </c>
      <c r="AS220" s="8">
        <v>1555</v>
      </c>
      <c r="AT220" s="8">
        <v>1759</v>
      </c>
      <c r="AU220" s="8">
        <v>1782</v>
      </c>
      <c r="AV220" s="8">
        <v>1509</v>
      </c>
      <c r="AW220" s="8">
        <v>2823</v>
      </c>
      <c r="AX220" s="8">
        <v>2497</v>
      </c>
      <c r="AY220" s="8">
        <v>2073</v>
      </c>
      <c r="AZ220" s="8">
        <v>2624</v>
      </c>
      <c r="BA220" s="8">
        <v>2431</v>
      </c>
      <c r="BB220" s="8">
        <v>2880</v>
      </c>
      <c r="BC220" s="8">
        <v>3326</v>
      </c>
      <c r="BD220" s="8">
        <v>2914</v>
      </c>
      <c r="BE220" s="8">
        <v>1546</v>
      </c>
      <c r="BF220" s="8">
        <v>1597</v>
      </c>
      <c r="BG220" s="8">
        <v>1661</v>
      </c>
      <c r="BH220" s="8">
        <v>1352</v>
      </c>
      <c r="BI220" s="8">
        <v>1971</v>
      </c>
      <c r="BJ220" s="8">
        <v>1943</v>
      </c>
      <c r="BK220" s="8">
        <v>2039</v>
      </c>
      <c r="BL220" s="8">
        <v>1899</v>
      </c>
      <c r="BM220" s="8">
        <v>1948</v>
      </c>
      <c r="BN220" s="8">
        <v>1722</v>
      </c>
      <c r="BO220" s="8">
        <v>2396</v>
      </c>
      <c r="BP220" s="8">
        <v>2606</v>
      </c>
      <c r="BQ220" s="8">
        <v>1791</v>
      </c>
      <c r="BR220" s="8">
        <v>2008</v>
      </c>
      <c r="BS220" s="8">
        <v>1953</v>
      </c>
      <c r="BT220" s="8">
        <v>2343</v>
      </c>
      <c r="BU220" s="8">
        <v>2039</v>
      </c>
      <c r="BV220" s="8">
        <v>2479</v>
      </c>
      <c r="BW220" s="8">
        <v>1719</v>
      </c>
      <c r="BX220" s="8">
        <v>1977</v>
      </c>
      <c r="BY220" s="8">
        <v>1779</v>
      </c>
      <c r="BZ220" s="8">
        <v>2751</v>
      </c>
      <c r="CA220" s="8">
        <v>2954</v>
      </c>
      <c r="CB220" s="8">
        <v>1824</v>
      </c>
      <c r="CC220" s="8">
        <v>1380</v>
      </c>
      <c r="CD220" s="8">
        <v>1277</v>
      </c>
      <c r="CE220" s="8">
        <v>1734</v>
      </c>
      <c r="CF220" s="8">
        <v>1422</v>
      </c>
      <c r="CG220" s="8">
        <v>1896</v>
      </c>
      <c r="CH220" s="8">
        <v>2289</v>
      </c>
      <c r="CJ220" s="9"/>
      <c r="CK220" s="9"/>
      <c r="CL220" s="9"/>
      <c r="CM220" s="9"/>
      <c r="CN220" s="9"/>
      <c r="CO220" s="9"/>
      <c r="CP220" s="9"/>
      <c r="CQ220" s="9"/>
      <c r="CR220" s="9"/>
      <c r="CS220" s="9"/>
      <c r="CT220" s="9"/>
      <c r="CU220" s="9"/>
      <c r="CV220" s="9"/>
      <c r="CW220" s="9"/>
      <c r="CX220" s="9"/>
      <c r="CY220" s="9"/>
      <c r="CZ220" s="9"/>
      <c r="DA220" s="9"/>
      <c r="DB220" s="9"/>
      <c r="DC220" s="9"/>
      <c r="DD220" s="9"/>
      <c r="DE220" s="9"/>
      <c r="DF220" s="9"/>
      <c r="DG220" s="9"/>
      <c r="DH220" s="9"/>
      <c r="DI220" s="9"/>
      <c r="DJ220" s="9"/>
      <c r="DK220" s="9"/>
      <c r="DL220" s="9"/>
      <c r="DM220" s="9"/>
      <c r="DN220" s="9"/>
      <c r="DO220" s="9"/>
      <c r="DP220" s="9"/>
      <c r="DQ220" s="9"/>
      <c r="DR220" s="9"/>
      <c r="DS220" s="9"/>
      <c r="DT220" s="9"/>
      <c r="DU220" s="9"/>
      <c r="DV220" s="9"/>
      <c r="DW220" s="9"/>
      <c r="DX220" s="9"/>
      <c r="DY220" s="9"/>
      <c r="DZ220" s="9"/>
      <c r="EA220" s="9"/>
      <c r="EB220" s="9"/>
      <c r="EC220" s="9"/>
      <c r="ED220" s="9"/>
      <c r="EE220" s="9"/>
      <c r="EF220" s="9"/>
      <c r="EG220" s="9"/>
      <c r="EH220" s="9"/>
      <c r="EI220" s="9"/>
      <c r="EJ220" s="9"/>
      <c r="EK220" s="9"/>
      <c r="EL220" s="9"/>
      <c r="EM220" s="9"/>
      <c r="EN220" s="9"/>
      <c r="EO220" s="9"/>
      <c r="EP220" s="9"/>
      <c r="EQ220" s="9"/>
      <c r="ER220" s="9"/>
      <c r="ES220" s="9"/>
      <c r="ET220" s="9"/>
      <c r="EU220" s="9"/>
      <c r="EV220" s="9"/>
      <c r="EW220" s="9"/>
      <c r="EX220" s="9"/>
      <c r="EY220" s="9"/>
      <c r="EZ220" s="9"/>
      <c r="FA220" s="9"/>
      <c r="FB220" s="9"/>
      <c r="FC220" s="9"/>
      <c r="FD220" s="9"/>
      <c r="FE220" s="9"/>
      <c r="FF220" s="9"/>
      <c r="FG220" s="9"/>
      <c r="FH220" s="9"/>
      <c r="FI220" s="9"/>
    </row>
    <row r="221" spans="1:165" x14ac:dyDescent="0.2">
      <c r="A221" s="1" t="s">
        <v>754</v>
      </c>
      <c r="B221" s="1" t="s">
        <v>755</v>
      </c>
      <c r="C221" s="1" t="s">
        <v>304</v>
      </c>
      <c r="D221" s="1" t="str">
        <f>HYPERLINK("http://eros.fiehnlab.ucdavis.edu:8080/binbase-compound/bin/show/367938?db=rtx5","367938")</f>
        <v>367938</v>
      </c>
      <c r="E221" s="1" t="s">
        <v>756</v>
      </c>
      <c r="F221" s="1" t="s">
        <v>184</v>
      </c>
      <c r="G221" s="1" t="s">
        <v>184</v>
      </c>
      <c r="H221" s="1"/>
      <c r="I221" s="8">
        <v>2272</v>
      </c>
      <c r="J221" s="8">
        <v>1518</v>
      </c>
      <c r="K221" s="8">
        <v>1553</v>
      </c>
      <c r="L221" s="8">
        <v>1506</v>
      </c>
      <c r="M221" s="8">
        <v>1869</v>
      </c>
      <c r="N221" s="8">
        <v>2048</v>
      </c>
      <c r="O221" s="8">
        <v>1323</v>
      </c>
      <c r="P221" s="8">
        <v>1750</v>
      </c>
      <c r="Q221" s="8">
        <v>771</v>
      </c>
      <c r="R221" s="8">
        <v>732</v>
      </c>
      <c r="S221" s="8">
        <v>1437</v>
      </c>
      <c r="T221" s="8">
        <v>1224</v>
      </c>
      <c r="U221" s="8">
        <v>1168</v>
      </c>
      <c r="V221" s="8">
        <v>1473</v>
      </c>
      <c r="W221" s="8">
        <v>1260</v>
      </c>
      <c r="X221" s="8">
        <v>1611</v>
      </c>
      <c r="Y221" s="8">
        <v>1032</v>
      </c>
      <c r="Z221" s="8">
        <v>1455</v>
      </c>
      <c r="AA221" s="8">
        <v>1694</v>
      </c>
      <c r="AB221" s="8">
        <v>1364</v>
      </c>
      <c r="AC221" s="8">
        <v>1173</v>
      </c>
      <c r="AD221" s="8">
        <v>892</v>
      </c>
      <c r="AE221" s="8">
        <v>892</v>
      </c>
      <c r="AF221" s="8">
        <v>1454</v>
      </c>
      <c r="AG221" s="8">
        <v>2173</v>
      </c>
      <c r="AH221" s="8">
        <v>994</v>
      </c>
      <c r="AI221" s="8">
        <v>1073</v>
      </c>
      <c r="AJ221" s="8">
        <v>1485</v>
      </c>
      <c r="AK221" s="8">
        <v>854</v>
      </c>
      <c r="AL221" s="8">
        <v>1649</v>
      </c>
      <c r="AM221" s="8">
        <v>983</v>
      </c>
      <c r="AN221" s="8">
        <v>1324</v>
      </c>
      <c r="AO221" s="8">
        <v>921</v>
      </c>
      <c r="AP221" s="8">
        <v>1748</v>
      </c>
      <c r="AQ221" s="8">
        <v>1767</v>
      </c>
      <c r="AR221" s="8">
        <v>1229</v>
      </c>
      <c r="AS221" s="8">
        <v>1642</v>
      </c>
      <c r="AT221" s="8">
        <v>732</v>
      </c>
      <c r="AU221" s="8">
        <v>866</v>
      </c>
      <c r="AV221" s="8">
        <v>1508</v>
      </c>
      <c r="AW221" s="8">
        <v>905</v>
      </c>
      <c r="AX221" s="8">
        <v>1401</v>
      </c>
      <c r="AY221" s="8">
        <v>743</v>
      </c>
      <c r="AZ221" s="8">
        <v>1614</v>
      </c>
      <c r="BA221" s="8">
        <v>1062</v>
      </c>
      <c r="BB221" s="8">
        <v>1145</v>
      </c>
      <c r="BC221" s="8">
        <v>1847</v>
      </c>
      <c r="BD221" s="8">
        <v>1491</v>
      </c>
      <c r="BE221" s="8">
        <v>1396</v>
      </c>
      <c r="BF221" s="8">
        <v>1566</v>
      </c>
      <c r="BG221" s="8">
        <v>1380</v>
      </c>
      <c r="BH221" s="8">
        <v>989</v>
      </c>
      <c r="BI221" s="8">
        <v>866</v>
      </c>
      <c r="BJ221" s="8">
        <v>1179</v>
      </c>
      <c r="BK221" s="8">
        <v>846</v>
      </c>
      <c r="BL221" s="8">
        <v>1343</v>
      </c>
      <c r="BM221" s="8">
        <v>1263</v>
      </c>
      <c r="BN221" s="8">
        <v>1471</v>
      </c>
      <c r="BO221" s="8">
        <v>447</v>
      </c>
      <c r="BP221" s="8">
        <v>1448</v>
      </c>
      <c r="BQ221" s="8">
        <v>1294</v>
      </c>
      <c r="BR221" s="8">
        <v>1800</v>
      </c>
      <c r="BS221" s="8">
        <v>990</v>
      </c>
      <c r="BT221" s="8">
        <v>1283</v>
      </c>
      <c r="BU221" s="8">
        <v>1003</v>
      </c>
      <c r="BV221" s="8">
        <v>1134</v>
      </c>
      <c r="BW221" s="8">
        <v>934</v>
      </c>
      <c r="BX221" s="8">
        <v>784</v>
      </c>
      <c r="BY221" s="8">
        <v>1090</v>
      </c>
      <c r="BZ221" s="8">
        <v>1533</v>
      </c>
      <c r="CA221" s="8">
        <v>1058</v>
      </c>
      <c r="CB221" s="8">
        <v>1232</v>
      </c>
      <c r="CC221" s="8">
        <v>1158</v>
      </c>
      <c r="CD221" s="8">
        <v>25372</v>
      </c>
      <c r="CE221" s="8">
        <v>1367</v>
      </c>
      <c r="CF221" s="8">
        <v>1052</v>
      </c>
      <c r="CG221" s="8">
        <v>1263</v>
      </c>
      <c r="CH221" s="8">
        <v>1305</v>
      </c>
      <c r="CJ221" s="9"/>
      <c r="CK221" s="9"/>
      <c r="CL221" s="9"/>
      <c r="CM221" s="9"/>
      <c r="CN221" s="9"/>
      <c r="CO221" s="9"/>
      <c r="CP221" s="9"/>
      <c r="CQ221" s="9"/>
      <c r="CR221" s="9"/>
      <c r="CS221" s="9"/>
      <c r="CT221" s="9"/>
      <c r="CU221" s="9"/>
      <c r="CV221" s="9"/>
      <c r="CW221" s="9"/>
      <c r="CX221" s="9"/>
      <c r="CY221" s="9"/>
      <c r="CZ221" s="9"/>
      <c r="DA221" s="9"/>
      <c r="DB221" s="9"/>
      <c r="DC221" s="9"/>
      <c r="DD221" s="9"/>
      <c r="DE221" s="9"/>
      <c r="DF221" s="9"/>
      <c r="DG221" s="9"/>
      <c r="DH221" s="9"/>
      <c r="DI221" s="9"/>
      <c r="DJ221" s="9"/>
      <c r="DK221" s="9"/>
      <c r="DL221" s="9"/>
      <c r="DM221" s="9"/>
      <c r="DN221" s="9"/>
      <c r="DO221" s="9"/>
      <c r="DP221" s="9"/>
      <c r="DQ221" s="9"/>
      <c r="DR221" s="9"/>
      <c r="DS221" s="9"/>
      <c r="DT221" s="9"/>
      <c r="DU221" s="9"/>
      <c r="DV221" s="9"/>
      <c r="DW221" s="9"/>
      <c r="DX221" s="9"/>
      <c r="DY221" s="9"/>
      <c r="DZ221" s="9"/>
      <c r="EA221" s="9"/>
      <c r="EB221" s="9"/>
      <c r="EC221" s="9"/>
      <c r="ED221" s="9"/>
      <c r="EE221" s="9"/>
      <c r="EF221" s="9"/>
      <c r="EG221" s="9"/>
      <c r="EH221" s="9"/>
      <c r="EI221" s="9"/>
      <c r="EJ221" s="9"/>
      <c r="EK221" s="9"/>
      <c r="EL221" s="9"/>
      <c r="EM221" s="9"/>
      <c r="EN221" s="9"/>
      <c r="EO221" s="9"/>
      <c r="EP221" s="9"/>
      <c r="EQ221" s="9"/>
      <c r="ER221" s="9"/>
      <c r="ES221" s="9"/>
      <c r="ET221" s="9"/>
      <c r="EU221" s="9"/>
      <c r="EV221" s="9"/>
      <c r="EW221" s="9"/>
      <c r="EX221" s="9"/>
      <c r="EY221" s="9"/>
      <c r="EZ221" s="9"/>
      <c r="FA221" s="9"/>
      <c r="FB221" s="9"/>
      <c r="FC221" s="9"/>
      <c r="FD221" s="9"/>
      <c r="FE221" s="9"/>
      <c r="FF221" s="9"/>
      <c r="FG221" s="9"/>
      <c r="FH221" s="9"/>
      <c r="FI221" s="9"/>
    </row>
    <row r="222" spans="1:165" x14ac:dyDescent="0.2">
      <c r="A222" s="1" t="s">
        <v>1110</v>
      </c>
      <c r="B222" s="1" t="s">
        <v>1111</v>
      </c>
      <c r="C222" s="1" t="s">
        <v>620</v>
      </c>
      <c r="D222" s="1" t="str">
        <f>HYPERLINK("http://eros.fiehnlab.ucdavis.edu:8080/binbase-compound/bin/show/229954?db=rtx5","229954")</f>
        <v>229954</v>
      </c>
      <c r="E222" s="1" t="s">
        <v>1112</v>
      </c>
      <c r="F222" s="1" t="s">
        <v>184</v>
      </c>
      <c r="G222" s="1" t="s">
        <v>184</v>
      </c>
      <c r="H222" s="1"/>
      <c r="I222" s="8">
        <v>550</v>
      </c>
      <c r="J222" s="8">
        <v>460</v>
      </c>
      <c r="K222" s="8">
        <v>582</v>
      </c>
      <c r="L222" s="8">
        <v>513</v>
      </c>
      <c r="M222" s="8">
        <v>452</v>
      </c>
      <c r="N222" s="8">
        <v>591</v>
      </c>
      <c r="O222" s="8">
        <v>591</v>
      </c>
      <c r="P222" s="8">
        <v>754</v>
      </c>
      <c r="Q222" s="8">
        <v>631</v>
      </c>
      <c r="R222" s="8">
        <v>731</v>
      </c>
      <c r="S222" s="8">
        <v>973</v>
      </c>
      <c r="T222" s="8">
        <v>806</v>
      </c>
      <c r="U222" s="8">
        <v>736</v>
      </c>
      <c r="V222" s="8">
        <v>652</v>
      </c>
      <c r="W222" s="8">
        <v>441</v>
      </c>
      <c r="X222" s="8">
        <v>512</v>
      </c>
      <c r="Y222" s="8">
        <v>571</v>
      </c>
      <c r="Z222" s="8">
        <v>766</v>
      </c>
      <c r="AA222" s="8">
        <v>418</v>
      </c>
      <c r="AB222" s="8">
        <v>728</v>
      </c>
      <c r="AC222" s="8">
        <v>732</v>
      </c>
      <c r="AD222" s="8">
        <v>686</v>
      </c>
      <c r="AE222" s="8">
        <v>662</v>
      </c>
      <c r="AF222" s="8">
        <v>730</v>
      </c>
      <c r="AG222" s="8">
        <v>453</v>
      </c>
      <c r="AH222" s="8">
        <v>885</v>
      </c>
      <c r="AI222" s="8">
        <v>719</v>
      </c>
      <c r="AJ222" s="8">
        <v>801</v>
      </c>
      <c r="AK222" s="8">
        <v>721</v>
      </c>
      <c r="AL222" s="8">
        <v>856</v>
      </c>
      <c r="AM222" s="8">
        <v>1129</v>
      </c>
      <c r="AN222" s="8">
        <v>843</v>
      </c>
      <c r="AO222" s="8">
        <v>971</v>
      </c>
      <c r="AP222" s="8">
        <v>916</v>
      </c>
      <c r="AQ222" s="8">
        <v>959</v>
      </c>
      <c r="AR222" s="8">
        <v>861</v>
      </c>
      <c r="AS222" s="8">
        <v>723</v>
      </c>
      <c r="AT222" s="8">
        <v>745</v>
      </c>
      <c r="AU222" s="8">
        <v>840</v>
      </c>
      <c r="AV222" s="8">
        <v>868</v>
      </c>
      <c r="AW222" s="8">
        <v>798</v>
      </c>
      <c r="AX222" s="8">
        <v>896</v>
      </c>
      <c r="AY222" s="8">
        <v>900</v>
      </c>
      <c r="AZ222" s="8">
        <v>1093</v>
      </c>
      <c r="BA222" s="8">
        <v>1011</v>
      </c>
      <c r="BB222" s="8">
        <v>1167</v>
      </c>
      <c r="BC222" s="8">
        <v>978</v>
      </c>
      <c r="BD222" s="8">
        <v>1077</v>
      </c>
      <c r="BE222" s="8">
        <v>644</v>
      </c>
      <c r="BF222" s="8">
        <v>659</v>
      </c>
      <c r="BG222" s="8">
        <v>579</v>
      </c>
      <c r="BH222" s="8">
        <v>591</v>
      </c>
      <c r="BI222" s="8">
        <v>641</v>
      </c>
      <c r="BJ222" s="8">
        <v>751</v>
      </c>
      <c r="BK222" s="8">
        <v>978</v>
      </c>
      <c r="BL222" s="8">
        <v>822</v>
      </c>
      <c r="BM222" s="8">
        <v>823</v>
      </c>
      <c r="BN222" s="8">
        <v>698</v>
      </c>
      <c r="BO222" s="8">
        <v>842</v>
      </c>
      <c r="BP222" s="8">
        <v>739</v>
      </c>
      <c r="BQ222" s="8">
        <v>639</v>
      </c>
      <c r="BR222" s="8">
        <v>838</v>
      </c>
      <c r="BS222" s="8">
        <v>803</v>
      </c>
      <c r="BT222" s="8">
        <v>660</v>
      </c>
      <c r="BU222" s="8">
        <v>793</v>
      </c>
      <c r="BV222" s="8">
        <v>662</v>
      </c>
      <c r="BW222" s="8">
        <v>872</v>
      </c>
      <c r="BX222" s="8">
        <v>829</v>
      </c>
      <c r="BY222" s="8">
        <v>838</v>
      </c>
      <c r="BZ222" s="8">
        <v>829</v>
      </c>
      <c r="CA222" s="8">
        <v>803</v>
      </c>
      <c r="CB222" s="8">
        <v>677</v>
      </c>
      <c r="CC222" s="8">
        <v>399</v>
      </c>
      <c r="CD222" s="8">
        <v>655</v>
      </c>
      <c r="CE222" s="8">
        <v>694</v>
      </c>
      <c r="CF222" s="8">
        <v>603</v>
      </c>
      <c r="CG222" s="8">
        <v>708</v>
      </c>
      <c r="CH222" s="8">
        <v>603</v>
      </c>
      <c r="CJ222" s="9"/>
      <c r="CK222" s="9"/>
      <c r="CL222" s="9"/>
      <c r="CM222" s="9"/>
      <c r="CN222" s="9"/>
      <c r="CO222" s="9"/>
      <c r="CP222" s="9"/>
      <c r="CQ222" s="9"/>
      <c r="CR222" s="9"/>
      <c r="CS222" s="9"/>
      <c r="CT222" s="9"/>
      <c r="CU222" s="9"/>
      <c r="CV222" s="9"/>
      <c r="CW222" s="9"/>
      <c r="CX222" s="9"/>
      <c r="CY222" s="9"/>
      <c r="CZ222" s="9"/>
      <c r="DA222" s="9"/>
      <c r="DB222" s="9"/>
      <c r="DC222" s="9"/>
      <c r="DD222" s="9"/>
      <c r="DE222" s="9"/>
      <c r="DF222" s="9"/>
      <c r="DG222" s="9"/>
      <c r="DH222" s="9"/>
      <c r="DI222" s="9"/>
      <c r="DJ222" s="9"/>
      <c r="DK222" s="9"/>
      <c r="DL222" s="9"/>
      <c r="DM222" s="9"/>
      <c r="DN222" s="9"/>
      <c r="DO222" s="9"/>
      <c r="DP222" s="9"/>
      <c r="DQ222" s="9"/>
      <c r="DR222" s="9"/>
      <c r="DS222" s="9"/>
      <c r="DT222" s="9"/>
      <c r="DU222" s="9"/>
      <c r="DV222" s="9"/>
      <c r="DW222" s="9"/>
      <c r="DX222" s="9"/>
      <c r="DY222" s="9"/>
      <c r="DZ222" s="9"/>
      <c r="EA222" s="9"/>
      <c r="EB222" s="9"/>
      <c r="EC222" s="9"/>
      <c r="ED222" s="9"/>
      <c r="EE222" s="9"/>
      <c r="EF222" s="9"/>
      <c r="EG222" s="9"/>
      <c r="EH222" s="9"/>
      <c r="EI222" s="9"/>
      <c r="EJ222" s="9"/>
      <c r="EK222" s="9"/>
      <c r="EL222" s="9"/>
      <c r="EM222" s="9"/>
      <c r="EN222" s="9"/>
      <c r="EO222" s="9"/>
      <c r="EP222" s="9"/>
      <c r="EQ222" s="9"/>
      <c r="ER222" s="9"/>
      <c r="ES222" s="9"/>
      <c r="ET222" s="9"/>
      <c r="EU222" s="9"/>
      <c r="EV222" s="9"/>
      <c r="EW222" s="9"/>
      <c r="EX222" s="9"/>
      <c r="EY222" s="9"/>
      <c r="EZ222" s="9"/>
      <c r="FA222" s="9"/>
      <c r="FB222" s="9"/>
      <c r="FC222" s="9"/>
      <c r="FD222" s="9"/>
      <c r="FE222" s="9"/>
      <c r="FF222" s="9"/>
      <c r="FG222" s="9"/>
      <c r="FH222" s="9"/>
      <c r="FI222" s="9"/>
    </row>
    <row r="223" spans="1:165" x14ac:dyDescent="0.2">
      <c r="A223" s="1" t="s">
        <v>1254</v>
      </c>
      <c r="B223" s="1" t="s">
        <v>1255</v>
      </c>
      <c r="C223" s="1" t="s">
        <v>865</v>
      </c>
      <c r="D223" s="1" t="str">
        <f>HYPERLINK("http://eros.fiehnlab.ucdavis.edu:8080/binbase-compound/bin/show/217893?db=rtx5","217893")</f>
        <v>217893</v>
      </c>
      <c r="E223" s="1" t="s">
        <v>1256</v>
      </c>
      <c r="F223" s="1" t="s">
        <v>184</v>
      </c>
      <c r="G223" s="1" t="s">
        <v>184</v>
      </c>
      <c r="H223" s="1"/>
      <c r="I223" s="8">
        <v>375</v>
      </c>
      <c r="J223" s="8">
        <v>1083</v>
      </c>
      <c r="K223" s="8">
        <v>384</v>
      </c>
      <c r="L223" s="8">
        <v>606</v>
      </c>
      <c r="M223" s="8">
        <v>440</v>
      </c>
      <c r="N223" s="8">
        <v>726</v>
      </c>
      <c r="O223" s="8">
        <v>453</v>
      </c>
      <c r="P223" s="8">
        <v>300</v>
      </c>
      <c r="Q223" s="8">
        <v>551</v>
      </c>
      <c r="R223" s="8">
        <v>455</v>
      </c>
      <c r="S223" s="8">
        <v>522</v>
      </c>
      <c r="T223" s="8">
        <v>340</v>
      </c>
      <c r="U223" s="8">
        <v>420</v>
      </c>
      <c r="V223" s="8">
        <v>363</v>
      </c>
      <c r="W223" s="8">
        <v>342</v>
      </c>
      <c r="X223" s="8">
        <v>233</v>
      </c>
      <c r="Y223" s="8">
        <v>159</v>
      </c>
      <c r="Z223" s="8">
        <v>319</v>
      </c>
      <c r="AA223" s="8">
        <v>124</v>
      </c>
      <c r="AB223" s="8">
        <v>326</v>
      </c>
      <c r="AC223" s="8">
        <v>324</v>
      </c>
      <c r="AD223" s="8">
        <v>382</v>
      </c>
      <c r="AE223" s="8">
        <v>307</v>
      </c>
      <c r="AF223" s="8">
        <v>667</v>
      </c>
      <c r="AG223" s="8">
        <v>243</v>
      </c>
      <c r="AH223" s="8">
        <v>306</v>
      </c>
      <c r="AI223" s="8">
        <v>607</v>
      </c>
      <c r="AJ223" s="8">
        <v>203</v>
      </c>
      <c r="AK223" s="8">
        <v>233</v>
      </c>
      <c r="AL223" s="8">
        <v>262</v>
      </c>
      <c r="AM223" s="8">
        <v>802</v>
      </c>
      <c r="AN223" s="8">
        <v>580</v>
      </c>
      <c r="AO223" s="8">
        <v>583</v>
      </c>
      <c r="AP223" s="8">
        <v>585</v>
      </c>
      <c r="AQ223" s="8">
        <v>151</v>
      </c>
      <c r="AR223" s="8">
        <v>233</v>
      </c>
      <c r="AS223" s="8">
        <v>393</v>
      </c>
      <c r="AT223" s="8">
        <v>481</v>
      </c>
      <c r="AU223" s="8">
        <v>1314</v>
      </c>
      <c r="AV223" s="8">
        <v>287</v>
      </c>
      <c r="AW223" s="8">
        <v>219</v>
      </c>
      <c r="AX223" s="8">
        <v>876</v>
      </c>
      <c r="AY223" s="8">
        <v>463</v>
      </c>
      <c r="AZ223" s="8">
        <v>749</v>
      </c>
      <c r="BA223" s="8">
        <v>690</v>
      </c>
      <c r="BB223" s="8">
        <v>999</v>
      </c>
      <c r="BC223" s="8">
        <v>259</v>
      </c>
      <c r="BD223" s="8">
        <v>422</v>
      </c>
      <c r="BE223" s="8">
        <v>353</v>
      </c>
      <c r="BF223" s="8">
        <v>191</v>
      </c>
      <c r="BG223" s="8">
        <v>161</v>
      </c>
      <c r="BH223" s="8">
        <v>391</v>
      </c>
      <c r="BI223" s="8">
        <v>970</v>
      </c>
      <c r="BJ223" s="8">
        <v>194</v>
      </c>
      <c r="BK223" s="8">
        <v>319</v>
      </c>
      <c r="BL223" s="8">
        <v>528</v>
      </c>
      <c r="BM223" s="8">
        <v>567</v>
      </c>
      <c r="BN223" s="8">
        <v>264</v>
      </c>
      <c r="BO223" s="8">
        <v>352</v>
      </c>
      <c r="BP223" s="8">
        <v>357</v>
      </c>
      <c r="BQ223" s="8">
        <v>729</v>
      </c>
      <c r="BR223" s="8">
        <v>239</v>
      </c>
      <c r="BS223" s="8">
        <v>552</v>
      </c>
      <c r="BT223" s="8">
        <v>655</v>
      </c>
      <c r="BU223" s="8">
        <v>229</v>
      </c>
      <c r="BV223" s="8">
        <v>1216</v>
      </c>
      <c r="BW223" s="8">
        <v>331</v>
      </c>
      <c r="BX223" s="8">
        <v>302</v>
      </c>
      <c r="BY223" s="8">
        <v>258</v>
      </c>
      <c r="BZ223" s="8">
        <v>267</v>
      </c>
      <c r="CA223" s="8">
        <v>777</v>
      </c>
      <c r="CB223" s="8">
        <v>241</v>
      </c>
      <c r="CC223" s="8">
        <v>231</v>
      </c>
      <c r="CD223" s="8">
        <v>192</v>
      </c>
      <c r="CE223" s="8">
        <v>328</v>
      </c>
      <c r="CF223" s="8">
        <v>252</v>
      </c>
      <c r="CG223" s="8">
        <v>211</v>
      </c>
      <c r="CH223" s="8">
        <v>489</v>
      </c>
      <c r="CJ223" s="9"/>
      <c r="CK223" s="9"/>
      <c r="CL223" s="9"/>
      <c r="CM223" s="9"/>
      <c r="CN223" s="9"/>
      <c r="CO223" s="9"/>
      <c r="CP223" s="9"/>
      <c r="CQ223" s="9"/>
      <c r="CR223" s="9"/>
      <c r="CS223" s="9"/>
      <c r="CT223" s="9"/>
      <c r="CU223" s="9"/>
      <c r="CV223" s="9"/>
      <c r="CW223" s="9"/>
      <c r="CX223" s="9"/>
      <c r="CY223" s="9"/>
      <c r="CZ223" s="9"/>
      <c r="DA223" s="9"/>
      <c r="DB223" s="9"/>
      <c r="DC223" s="9"/>
      <c r="DD223" s="9"/>
      <c r="DE223" s="9"/>
      <c r="DF223" s="9"/>
      <c r="DG223" s="9"/>
      <c r="DH223" s="9"/>
      <c r="DI223" s="9"/>
      <c r="DJ223" s="9"/>
      <c r="DK223" s="9"/>
      <c r="DL223" s="9"/>
      <c r="DM223" s="9"/>
      <c r="DN223" s="9"/>
      <c r="DO223" s="9"/>
      <c r="DP223" s="9"/>
      <c r="DQ223" s="9"/>
      <c r="DR223" s="9"/>
      <c r="DS223" s="9"/>
      <c r="DT223" s="9"/>
      <c r="DU223" s="9"/>
      <c r="DV223" s="9"/>
      <c r="DW223" s="9"/>
      <c r="DX223" s="9"/>
      <c r="DY223" s="9"/>
      <c r="DZ223" s="9"/>
      <c r="EA223" s="9"/>
      <c r="EB223" s="9"/>
      <c r="EC223" s="9"/>
      <c r="ED223" s="9"/>
      <c r="EE223" s="9"/>
      <c r="EF223" s="9"/>
      <c r="EG223" s="9"/>
      <c r="EH223" s="9"/>
      <c r="EI223" s="9"/>
      <c r="EJ223" s="9"/>
      <c r="EK223" s="9"/>
      <c r="EL223" s="9"/>
      <c r="EM223" s="9"/>
      <c r="EN223" s="9"/>
      <c r="EO223" s="9"/>
      <c r="EP223" s="9"/>
      <c r="EQ223" s="9"/>
      <c r="ER223" s="9"/>
      <c r="ES223" s="9"/>
      <c r="ET223" s="9"/>
      <c r="EU223" s="9"/>
      <c r="EV223" s="9"/>
      <c r="EW223" s="9"/>
      <c r="EX223" s="9"/>
      <c r="EY223" s="9"/>
      <c r="EZ223" s="9"/>
      <c r="FA223" s="9"/>
      <c r="FB223" s="9"/>
      <c r="FC223" s="9"/>
      <c r="FD223" s="9"/>
      <c r="FE223" s="9"/>
      <c r="FF223" s="9"/>
      <c r="FG223" s="9"/>
      <c r="FH223" s="9"/>
      <c r="FI223" s="9"/>
    </row>
    <row r="224" spans="1:165" x14ac:dyDescent="0.2">
      <c r="A224" s="1" t="s">
        <v>1235</v>
      </c>
      <c r="B224" s="1" t="s">
        <v>1236</v>
      </c>
      <c r="C224" s="1" t="s">
        <v>617</v>
      </c>
      <c r="D224" s="1" t="str">
        <f>HYPERLINK("http://eros.fiehnlab.ucdavis.edu:8080/binbase-compound/bin/show/221606?db=rtx5","221606")</f>
        <v>221606</v>
      </c>
      <c r="E224" s="1" t="s">
        <v>1237</v>
      </c>
      <c r="F224" s="1" t="s">
        <v>184</v>
      </c>
      <c r="G224" s="1" t="s">
        <v>184</v>
      </c>
      <c r="H224" s="1"/>
      <c r="I224" s="8">
        <v>217</v>
      </c>
      <c r="J224" s="8">
        <v>179</v>
      </c>
      <c r="K224" s="8">
        <v>187</v>
      </c>
      <c r="L224" s="8">
        <v>103</v>
      </c>
      <c r="M224" s="8">
        <v>189</v>
      </c>
      <c r="N224" s="8">
        <v>177</v>
      </c>
      <c r="O224" s="8">
        <v>484</v>
      </c>
      <c r="P224" s="8">
        <v>389</v>
      </c>
      <c r="Q224" s="8">
        <v>351</v>
      </c>
      <c r="R224" s="8">
        <v>442</v>
      </c>
      <c r="S224" s="8">
        <v>530</v>
      </c>
      <c r="T224" s="8">
        <v>437</v>
      </c>
      <c r="U224" s="8">
        <v>216</v>
      </c>
      <c r="V224" s="8">
        <v>380</v>
      </c>
      <c r="W224" s="8">
        <v>216</v>
      </c>
      <c r="X224" s="8">
        <v>422</v>
      </c>
      <c r="Y224" s="8">
        <v>434</v>
      </c>
      <c r="Z224" s="8">
        <v>416</v>
      </c>
      <c r="AA224" s="8">
        <v>241</v>
      </c>
      <c r="AB224" s="8">
        <v>384</v>
      </c>
      <c r="AC224" s="8">
        <v>324</v>
      </c>
      <c r="AD224" s="8">
        <v>316</v>
      </c>
      <c r="AE224" s="8">
        <v>301</v>
      </c>
      <c r="AF224" s="8">
        <v>94</v>
      </c>
      <c r="AG224" s="8">
        <v>412</v>
      </c>
      <c r="AH224" s="8">
        <v>358</v>
      </c>
      <c r="AI224" s="8">
        <v>420</v>
      </c>
      <c r="AJ224" s="8">
        <v>581</v>
      </c>
      <c r="AK224" s="8">
        <v>390</v>
      </c>
      <c r="AL224" s="8">
        <v>324</v>
      </c>
      <c r="AM224" s="8">
        <v>272</v>
      </c>
      <c r="AN224" s="8">
        <v>402</v>
      </c>
      <c r="AO224" s="8">
        <v>422</v>
      </c>
      <c r="AP224" s="8">
        <v>231</v>
      </c>
      <c r="AQ224" s="8">
        <v>400</v>
      </c>
      <c r="AR224" s="8">
        <v>295</v>
      </c>
      <c r="AS224" s="8">
        <v>473</v>
      </c>
      <c r="AT224" s="8">
        <v>268</v>
      </c>
      <c r="AU224" s="8">
        <v>236</v>
      </c>
      <c r="AV224" s="8">
        <v>380</v>
      </c>
      <c r="AW224" s="8">
        <v>307</v>
      </c>
      <c r="AX224" s="8">
        <v>280</v>
      </c>
      <c r="AY224" s="8">
        <v>182</v>
      </c>
      <c r="AZ224" s="8">
        <v>251</v>
      </c>
      <c r="BA224" s="8">
        <v>153</v>
      </c>
      <c r="BB224" s="8">
        <v>251</v>
      </c>
      <c r="BC224" s="8">
        <v>196</v>
      </c>
      <c r="BD224" s="8">
        <v>196</v>
      </c>
      <c r="BE224" s="8">
        <v>410</v>
      </c>
      <c r="BF224" s="8">
        <v>222</v>
      </c>
      <c r="BG224" s="8">
        <v>330</v>
      </c>
      <c r="BH224" s="8">
        <v>308</v>
      </c>
      <c r="BI224" s="8">
        <v>411</v>
      </c>
      <c r="BJ224" s="8">
        <v>607</v>
      </c>
      <c r="BK224" s="8">
        <v>320</v>
      </c>
      <c r="BL224" s="8">
        <v>400</v>
      </c>
      <c r="BM224" s="8">
        <v>474</v>
      </c>
      <c r="BN224" s="8">
        <v>313</v>
      </c>
      <c r="BO224" s="8">
        <v>367</v>
      </c>
      <c r="BP224" s="8">
        <v>608</v>
      </c>
      <c r="BQ224" s="8">
        <v>405</v>
      </c>
      <c r="BR224" s="8">
        <v>427</v>
      </c>
      <c r="BS224" s="8">
        <v>424</v>
      </c>
      <c r="BT224" s="8">
        <v>304</v>
      </c>
      <c r="BU224" s="8">
        <v>353</v>
      </c>
      <c r="BV224" s="8">
        <v>355</v>
      </c>
      <c r="BW224" s="8">
        <v>208</v>
      </c>
      <c r="BX224" s="8">
        <v>171</v>
      </c>
      <c r="BY224" s="8">
        <v>163</v>
      </c>
      <c r="BZ224" s="8">
        <v>192</v>
      </c>
      <c r="CA224" s="8">
        <v>151</v>
      </c>
      <c r="CB224" s="8">
        <v>136</v>
      </c>
      <c r="CC224" s="8">
        <v>246</v>
      </c>
      <c r="CD224" s="8">
        <v>420</v>
      </c>
      <c r="CE224" s="8">
        <v>376</v>
      </c>
      <c r="CF224" s="8">
        <v>246</v>
      </c>
      <c r="CG224" s="8">
        <v>432</v>
      </c>
      <c r="CH224" s="8">
        <v>281</v>
      </c>
      <c r="CJ224" s="9"/>
      <c r="CK224" s="9"/>
      <c r="CL224" s="9"/>
      <c r="CM224" s="9"/>
      <c r="CN224" s="9"/>
      <c r="CO224" s="9"/>
      <c r="CP224" s="9"/>
      <c r="CQ224" s="9"/>
      <c r="CR224" s="9"/>
      <c r="CS224" s="9"/>
      <c r="CT224" s="9"/>
      <c r="CU224" s="9"/>
      <c r="CV224" s="9"/>
      <c r="CW224" s="9"/>
      <c r="CX224" s="9"/>
      <c r="CY224" s="9"/>
      <c r="CZ224" s="9"/>
      <c r="DA224" s="9"/>
      <c r="DB224" s="9"/>
      <c r="DC224" s="9"/>
      <c r="DD224" s="9"/>
      <c r="DE224" s="9"/>
      <c r="DF224" s="9"/>
      <c r="DG224" s="9"/>
      <c r="DH224" s="9"/>
      <c r="DI224" s="9"/>
      <c r="DJ224" s="9"/>
      <c r="DK224" s="9"/>
      <c r="DL224" s="9"/>
      <c r="DM224" s="9"/>
      <c r="DN224" s="9"/>
      <c r="DO224" s="9"/>
      <c r="DP224" s="9"/>
      <c r="DQ224" s="9"/>
      <c r="DR224" s="9"/>
      <c r="DS224" s="9"/>
      <c r="DT224" s="9"/>
      <c r="DU224" s="9"/>
      <c r="DV224" s="9"/>
      <c r="DW224" s="9"/>
      <c r="DX224" s="9"/>
      <c r="DY224" s="9"/>
      <c r="DZ224" s="9"/>
      <c r="EA224" s="9"/>
      <c r="EB224" s="9"/>
      <c r="EC224" s="9"/>
      <c r="ED224" s="9"/>
      <c r="EE224" s="9"/>
      <c r="EF224" s="9"/>
      <c r="EG224" s="9"/>
      <c r="EH224" s="9"/>
      <c r="EI224" s="9"/>
      <c r="EJ224" s="9"/>
      <c r="EK224" s="9"/>
      <c r="EL224" s="9"/>
      <c r="EM224" s="9"/>
      <c r="EN224" s="9"/>
      <c r="EO224" s="9"/>
      <c r="EP224" s="9"/>
      <c r="EQ224" s="9"/>
      <c r="ER224" s="9"/>
      <c r="ES224" s="9"/>
      <c r="ET224" s="9"/>
      <c r="EU224" s="9"/>
      <c r="EV224" s="9"/>
      <c r="EW224" s="9"/>
      <c r="EX224" s="9"/>
      <c r="EY224" s="9"/>
      <c r="EZ224" s="9"/>
      <c r="FA224" s="9"/>
      <c r="FB224" s="9"/>
      <c r="FC224" s="9"/>
      <c r="FD224" s="9"/>
      <c r="FE224" s="9"/>
      <c r="FF224" s="9"/>
      <c r="FG224" s="9"/>
      <c r="FH224" s="9"/>
      <c r="FI224" s="9"/>
    </row>
    <row r="225" spans="1:165" x14ac:dyDescent="0.2">
      <c r="A225" s="1" t="s">
        <v>777</v>
      </c>
      <c r="B225" s="1" t="s">
        <v>778</v>
      </c>
      <c r="C225" s="1" t="s">
        <v>578</v>
      </c>
      <c r="D225" s="1" t="str">
        <f>HYPERLINK("http://eros.fiehnlab.ucdavis.edu:8080/binbase-compound/bin/show/362124?db=rtx5","362124")</f>
        <v>362124</v>
      </c>
      <c r="E225" s="1" t="s">
        <v>779</v>
      </c>
      <c r="F225" s="1" t="s">
        <v>184</v>
      </c>
      <c r="G225" s="1" t="s">
        <v>184</v>
      </c>
      <c r="H225" s="1"/>
      <c r="I225" s="8">
        <v>5074</v>
      </c>
      <c r="J225" s="8">
        <v>5372</v>
      </c>
      <c r="K225" s="8">
        <v>5658</v>
      </c>
      <c r="L225" s="8">
        <v>5167</v>
      </c>
      <c r="M225" s="8">
        <v>4689</v>
      </c>
      <c r="N225" s="8">
        <v>4837</v>
      </c>
      <c r="O225" s="8">
        <v>6423</v>
      </c>
      <c r="P225" s="8">
        <v>7673</v>
      </c>
      <c r="Q225" s="8">
        <v>6258</v>
      </c>
      <c r="R225" s="8">
        <v>6256</v>
      </c>
      <c r="S225" s="8">
        <v>7205</v>
      </c>
      <c r="T225" s="8">
        <v>4194</v>
      </c>
      <c r="U225" s="8">
        <v>8105</v>
      </c>
      <c r="V225" s="8">
        <v>7224</v>
      </c>
      <c r="W225" s="8">
        <v>6564</v>
      </c>
      <c r="X225" s="8">
        <v>4564</v>
      </c>
      <c r="Y225" s="8">
        <v>6708</v>
      </c>
      <c r="Z225" s="8">
        <v>6726</v>
      </c>
      <c r="AA225" s="8">
        <v>3676</v>
      </c>
      <c r="AB225" s="8">
        <v>9140</v>
      </c>
      <c r="AC225" s="8">
        <v>11699</v>
      </c>
      <c r="AD225" s="8">
        <v>8553</v>
      </c>
      <c r="AE225" s="8">
        <v>6846</v>
      </c>
      <c r="AF225" s="8">
        <v>6021</v>
      </c>
      <c r="AG225" s="8">
        <v>8147</v>
      </c>
      <c r="AH225" s="8">
        <v>6868</v>
      </c>
      <c r="AI225" s="8">
        <v>8039</v>
      </c>
      <c r="AJ225" s="8">
        <v>7148</v>
      </c>
      <c r="AK225" s="8">
        <v>6271</v>
      </c>
      <c r="AL225" s="8">
        <v>3396</v>
      </c>
      <c r="AM225" s="8">
        <v>7539</v>
      </c>
      <c r="AN225" s="8">
        <v>6560</v>
      </c>
      <c r="AO225" s="8">
        <v>9075</v>
      </c>
      <c r="AP225" s="8">
        <v>5705</v>
      </c>
      <c r="AQ225" s="8">
        <v>6397</v>
      </c>
      <c r="AR225" s="8">
        <v>4063</v>
      </c>
      <c r="AS225" s="8">
        <v>7002</v>
      </c>
      <c r="AT225" s="8">
        <v>7672</v>
      </c>
      <c r="AU225" s="8">
        <v>6364</v>
      </c>
      <c r="AV225" s="8">
        <v>6327</v>
      </c>
      <c r="AW225" s="8">
        <v>3285</v>
      </c>
      <c r="AX225" s="8">
        <v>6514</v>
      </c>
      <c r="AY225" s="8">
        <v>8577</v>
      </c>
      <c r="AZ225" s="8">
        <v>6013</v>
      </c>
      <c r="BA225" s="8">
        <v>3722</v>
      </c>
      <c r="BB225" s="8">
        <v>6414</v>
      </c>
      <c r="BC225" s="8">
        <v>9079</v>
      </c>
      <c r="BD225" s="8">
        <v>6120</v>
      </c>
      <c r="BE225" s="8">
        <v>10918</v>
      </c>
      <c r="BF225" s="8">
        <v>10327</v>
      </c>
      <c r="BG225" s="8">
        <v>7820</v>
      </c>
      <c r="BH225" s="8">
        <v>5892</v>
      </c>
      <c r="BI225" s="8">
        <v>6627</v>
      </c>
      <c r="BJ225" s="8">
        <v>8343</v>
      </c>
      <c r="BK225" s="8">
        <v>9446</v>
      </c>
      <c r="BL225" s="8">
        <v>7424</v>
      </c>
      <c r="BM225" s="8">
        <v>7531</v>
      </c>
      <c r="BN225" s="8">
        <v>4325</v>
      </c>
      <c r="BO225" s="8">
        <v>5249</v>
      </c>
      <c r="BP225" s="8">
        <v>4316</v>
      </c>
      <c r="BQ225" s="8">
        <v>8028</v>
      </c>
      <c r="BR225" s="8">
        <v>6592</v>
      </c>
      <c r="BS225" s="8">
        <v>9746</v>
      </c>
      <c r="BT225" s="8">
        <v>6555</v>
      </c>
      <c r="BU225" s="8">
        <v>5725</v>
      </c>
      <c r="BV225" s="8">
        <v>5406</v>
      </c>
      <c r="BW225" s="8">
        <v>8767</v>
      </c>
      <c r="BX225" s="8">
        <v>9754</v>
      </c>
      <c r="BY225" s="8">
        <v>9005</v>
      </c>
      <c r="BZ225" s="8">
        <v>7921</v>
      </c>
      <c r="CA225" s="8">
        <v>8460</v>
      </c>
      <c r="CB225" s="8">
        <v>6775</v>
      </c>
      <c r="CC225" s="8">
        <v>7607</v>
      </c>
      <c r="CD225" s="8">
        <v>6964</v>
      </c>
      <c r="CE225" s="8">
        <v>9580</v>
      </c>
      <c r="CF225" s="8">
        <v>7430</v>
      </c>
      <c r="CG225" s="8">
        <v>7510</v>
      </c>
      <c r="CH225" s="8">
        <v>7115</v>
      </c>
      <c r="CJ225" s="9"/>
      <c r="CK225" s="9"/>
      <c r="CL225" s="9"/>
      <c r="CM225" s="9"/>
      <c r="CN225" s="9"/>
      <c r="CO225" s="9"/>
      <c r="CP225" s="9"/>
      <c r="CQ225" s="9"/>
      <c r="CR225" s="9"/>
      <c r="CS225" s="9"/>
      <c r="CT225" s="9"/>
      <c r="CU225" s="9"/>
      <c r="CV225" s="9"/>
      <c r="CW225" s="9"/>
      <c r="CX225" s="9"/>
      <c r="CY225" s="9"/>
      <c r="CZ225" s="9"/>
      <c r="DA225" s="9"/>
      <c r="DB225" s="9"/>
      <c r="DC225" s="9"/>
      <c r="DD225" s="9"/>
      <c r="DE225" s="9"/>
      <c r="DF225" s="9"/>
      <c r="DG225" s="9"/>
      <c r="DH225" s="9"/>
      <c r="DI225" s="9"/>
      <c r="DJ225" s="9"/>
      <c r="DK225" s="9"/>
      <c r="DL225" s="9"/>
      <c r="DM225" s="9"/>
      <c r="DN225" s="9"/>
      <c r="DO225" s="9"/>
      <c r="DP225" s="9"/>
      <c r="DQ225" s="9"/>
      <c r="DR225" s="9"/>
      <c r="DS225" s="9"/>
      <c r="DT225" s="9"/>
      <c r="DU225" s="9"/>
      <c r="DV225" s="9"/>
      <c r="DW225" s="9"/>
      <c r="DX225" s="9"/>
      <c r="DY225" s="9"/>
      <c r="DZ225" s="9"/>
      <c r="EA225" s="9"/>
      <c r="EB225" s="9"/>
      <c r="EC225" s="9"/>
      <c r="ED225" s="9"/>
      <c r="EE225" s="9"/>
      <c r="EF225" s="9"/>
      <c r="EG225" s="9"/>
      <c r="EH225" s="9"/>
      <c r="EI225" s="9"/>
      <c r="EJ225" s="9"/>
      <c r="EK225" s="9"/>
      <c r="EL225" s="9"/>
      <c r="EM225" s="9"/>
      <c r="EN225" s="9"/>
      <c r="EO225" s="9"/>
      <c r="EP225" s="9"/>
      <c r="EQ225" s="9"/>
      <c r="ER225" s="9"/>
      <c r="ES225" s="9"/>
      <c r="ET225" s="9"/>
      <c r="EU225" s="9"/>
      <c r="EV225" s="9"/>
      <c r="EW225" s="9"/>
      <c r="EX225" s="9"/>
      <c r="EY225" s="9"/>
      <c r="EZ225" s="9"/>
      <c r="FA225" s="9"/>
      <c r="FB225" s="9"/>
      <c r="FC225" s="9"/>
      <c r="FD225" s="9"/>
      <c r="FE225" s="9"/>
      <c r="FF225" s="9"/>
      <c r="FG225" s="9"/>
      <c r="FH225" s="9"/>
      <c r="FI225" s="9"/>
    </row>
    <row r="226" spans="1:165" x14ac:dyDescent="0.2">
      <c r="A226" s="1" t="s">
        <v>1164</v>
      </c>
      <c r="B226" s="1" t="s">
        <v>1165</v>
      </c>
      <c r="C226" s="1" t="s">
        <v>620</v>
      </c>
      <c r="D226" s="1" t="str">
        <f>HYPERLINK("http://eros.fiehnlab.ucdavis.edu:8080/binbase-compound/bin/show/227601?db=rtx5","227601")</f>
        <v>227601</v>
      </c>
      <c r="E226" s="1" t="s">
        <v>1166</v>
      </c>
      <c r="F226" s="1" t="s">
        <v>184</v>
      </c>
      <c r="G226" s="1" t="s">
        <v>184</v>
      </c>
      <c r="H226" s="1"/>
      <c r="I226" s="8">
        <v>673</v>
      </c>
      <c r="J226" s="8">
        <v>524</v>
      </c>
      <c r="K226" s="8">
        <v>796</v>
      </c>
      <c r="L226" s="8">
        <v>778</v>
      </c>
      <c r="M226" s="8">
        <v>309</v>
      </c>
      <c r="N226" s="8">
        <v>378</v>
      </c>
      <c r="O226" s="8">
        <v>446</v>
      </c>
      <c r="P226" s="8">
        <v>756</v>
      </c>
      <c r="Q226" s="8">
        <v>764</v>
      </c>
      <c r="R226" s="8">
        <v>496</v>
      </c>
      <c r="S226" s="8">
        <v>549</v>
      </c>
      <c r="T226" s="8">
        <v>524</v>
      </c>
      <c r="U226" s="8">
        <v>574</v>
      </c>
      <c r="V226" s="8">
        <v>411</v>
      </c>
      <c r="W226" s="8">
        <v>412</v>
      </c>
      <c r="X226" s="8">
        <v>890</v>
      </c>
      <c r="Y226" s="8">
        <v>770</v>
      </c>
      <c r="Z226" s="8">
        <v>308</v>
      </c>
      <c r="AA226" s="8">
        <v>155</v>
      </c>
      <c r="AB226" s="8">
        <v>1169</v>
      </c>
      <c r="AC226" s="8">
        <v>717</v>
      </c>
      <c r="AD226" s="8">
        <v>470</v>
      </c>
      <c r="AE226" s="8">
        <v>551</v>
      </c>
      <c r="AF226" s="8">
        <v>263</v>
      </c>
      <c r="AG226" s="8">
        <v>660</v>
      </c>
      <c r="AH226" s="8">
        <v>279</v>
      </c>
      <c r="AI226" s="8">
        <v>646</v>
      </c>
      <c r="AJ226" s="8">
        <v>738</v>
      </c>
      <c r="AK226" s="8">
        <v>454</v>
      </c>
      <c r="AL226" s="8">
        <v>346</v>
      </c>
      <c r="AM226" s="8">
        <v>746</v>
      </c>
      <c r="AN226" s="8">
        <v>577</v>
      </c>
      <c r="AO226" s="8">
        <v>797</v>
      </c>
      <c r="AP226" s="8">
        <v>322</v>
      </c>
      <c r="AQ226" s="8">
        <v>624</v>
      </c>
      <c r="AR226" s="8">
        <v>471</v>
      </c>
      <c r="AS226" s="8">
        <v>545</v>
      </c>
      <c r="AT226" s="8">
        <v>683</v>
      </c>
      <c r="AU226" s="8">
        <v>597</v>
      </c>
      <c r="AV226" s="8">
        <v>724</v>
      </c>
      <c r="AW226" s="8">
        <v>441</v>
      </c>
      <c r="AX226" s="8">
        <v>560</v>
      </c>
      <c r="AY226" s="8">
        <v>956</v>
      </c>
      <c r="AZ226" s="8">
        <v>192</v>
      </c>
      <c r="BA226" s="8">
        <v>429</v>
      </c>
      <c r="BB226" s="8">
        <v>479</v>
      </c>
      <c r="BC226" s="8">
        <v>1101</v>
      </c>
      <c r="BD226" s="8">
        <v>302</v>
      </c>
      <c r="BE226" s="8">
        <v>565</v>
      </c>
      <c r="BF226" s="8">
        <v>494</v>
      </c>
      <c r="BG226" s="8">
        <v>909</v>
      </c>
      <c r="BH226" s="8">
        <v>545</v>
      </c>
      <c r="BI226" s="8">
        <v>310</v>
      </c>
      <c r="BJ226" s="8">
        <v>488</v>
      </c>
      <c r="BK226" s="8">
        <v>855</v>
      </c>
      <c r="BL226" s="8">
        <v>802</v>
      </c>
      <c r="BM226" s="8">
        <v>381</v>
      </c>
      <c r="BN226" s="8">
        <v>385</v>
      </c>
      <c r="BO226" s="8">
        <v>541</v>
      </c>
      <c r="BP226" s="8">
        <v>362</v>
      </c>
      <c r="BQ226" s="8">
        <v>387</v>
      </c>
      <c r="BR226" s="8">
        <v>581</v>
      </c>
      <c r="BS226" s="8">
        <v>862</v>
      </c>
      <c r="BT226" s="8">
        <v>687</v>
      </c>
      <c r="BU226" s="8">
        <v>505</v>
      </c>
      <c r="BV226" s="8">
        <v>332</v>
      </c>
      <c r="BW226" s="8">
        <v>566</v>
      </c>
      <c r="BX226" s="8">
        <v>717</v>
      </c>
      <c r="BY226" s="8">
        <v>966</v>
      </c>
      <c r="BZ226" s="8">
        <v>527</v>
      </c>
      <c r="CA226" s="8">
        <v>455</v>
      </c>
      <c r="CB226" s="8">
        <v>321</v>
      </c>
      <c r="CC226" s="8">
        <v>422</v>
      </c>
      <c r="CD226" s="8">
        <v>334</v>
      </c>
      <c r="CE226" s="8">
        <v>172</v>
      </c>
      <c r="CF226" s="8">
        <v>1032</v>
      </c>
      <c r="CG226" s="8">
        <v>519</v>
      </c>
      <c r="CH226" s="8">
        <v>378</v>
      </c>
      <c r="CJ226" s="9"/>
      <c r="CK226" s="9"/>
      <c r="CL226" s="9"/>
      <c r="CM226" s="9"/>
      <c r="CN226" s="9"/>
      <c r="CO226" s="9"/>
      <c r="CP226" s="9"/>
      <c r="CQ226" s="9"/>
      <c r="CR226" s="9"/>
      <c r="CS226" s="9"/>
      <c r="CT226" s="9"/>
      <c r="CU226" s="9"/>
      <c r="CV226" s="9"/>
      <c r="CW226" s="9"/>
      <c r="CX226" s="9"/>
      <c r="CY226" s="9"/>
      <c r="CZ226" s="9"/>
      <c r="DA226" s="9"/>
      <c r="DB226" s="9"/>
      <c r="DC226" s="9"/>
      <c r="DD226" s="9"/>
      <c r="DE226" s="9"/>
      <c r="DF226" s="9"/>
      <c r="DG226" s="9"/>
      <c r="DH226" s="9"/>
      <c r="DI226" s="9"/>
      <c r="DJ226" s="9"/>
      <c r="DK226" s="9"/>
      <c r="DL226" s="9"/>
      <c r="DM226" s="9"/>
      <c r="DN226" s="9"/>
      <c r="DO226" s="9"/>
      <c r="DP226" s="9"/>
      <c r="DQ226" s="9"/>
      <c r="DR226" s="9"/>
      <c r="DS226" s="9"/>
      <c r="DT226" s="9"/>
      <c r="DU226" s="9"/>
      <c r="DV226" s="9"/>
      <c r="DW226" s="9"/>
      <c r="DX226" s="9"/>
      <c r="DY226" s="9"/>
      <c r="DZ226" s="9"/>
      <c r="EA226" s="9"/>
      <c r="EB226" s="9"/>
      <c r="EC226" s="9"/>
      <c r="ED226" s="9"/>
      <c r="EE226" s="9"/>
      <c r="EF226" s="9"/>
      <c r="EG226" s="9"/>
      <c r="EH226" s="9"/>
      <c r="EI226" s="9"/>
      <c r="EJ226" s="9"/>
      <c r="EK226" s="9"/>
      <c r="EL226" s="9"/>
      <c r="EM226" s="9"/>
      <c r="EN226" s="9"/>
      <c r="EO226" s="9"/>
      <c r="EP226" s="9"/>
      <c r="EQ226" s="9"/>
      <c r="ER226" s="9"/>
      <c r="ES226" s="9"/>
      <c r="ET226" s="9"/>
      <c r="EU226" s="9"/>
      <c r="EV226" s="9"/>
      <c r="EW226" s="9"/>
      <c r="EX226" s="9"/>
      <c r="EY226" s="9"/>
      <c r="EZ226" s="9"/>
      <c r="FA226" s="9"/>
      <c r="FB226" s="9"/>
      <c r="FC226" s="9"/>
      <c r="FD226" s="9"/>
      <c r="FE226" s="9"/>
      <c r="FF226" s="9"/>
      <c r="FG226" s="9"/>
      <c r="FH226" s="9"/>
      <c r="FI226" s="9"/>
    </row>
    <row r="227" spans="1:165" x14ac:dyDescent="0.2">
      <c r="A227" s="1" t="s">
        <v>1403</v>
      </c>
      <c r="B227" s="1" t="s">
        <v>1404</v>
      </c>
      <c r="C227" s="1" t="s">
        <v>371</v>
      </c>
      <c r="D227" s="1" t="str">
        <f>HYPERLINK("http://eros.fiehnlab.ucdavis.edu:8080/binbase-compound/bin/show/199777?db=rtx5","199777")</f>
        <v>199777</v>
      </c>
      <c r="E227" s="1" t="s">
        <v>1405</v>
      </c>
      <c r="F227" s="1" t="s">
        <v>184</v>
      </c>
      <c r="G227" s="1" t="s">
        <v>184</v>
      </c>
      <c r="H227" s="1"/>
      <c r="I227" s="8">
        <v>584</v>
      </c>
      <c r="J227" s="8">
        <v>326</v>
      </c>
      <c r="K227" s="8">
        <v>378</v>
      </c>
      <c r="L227" s="8">
        <v>641</v>
      </c>
      <c r="M227" s="8">
        <v>1147</v>
      </c>
      <c r="N227" s="8">
        <v>533</v>
      </c>
      <c r="O227" s="8">
        <v>1117</v>
      </c>
      <c r="P227" s="8">
        <v>362</v>
      </c>
      <c r="Q227" s="8">
        <v>745</v>
      </c>
      <c r="R227" s="8">
        <v>316</v>
      </c>
      <c r="S227" s="8">
        <v>352</v>
      </c>
      <c r="T227" s="8">
        <v>200</v>
      </c>
      <c r="U227" s="8">
        <v>394</v>
      </c>
      <c r="V227" s="8">
        <v>280</v>
      </c>
      <c r="W227" s="8">
        <v>922</v>
      </c>
      <c r="X227" s="8">
        <v>366</v>
      </c>
      <c r="Y227" s="8">
        <v>444</v>
      </c>
      <c r="Z227" s="8">
        <v>207</v>
      </c>
      <c r="AA227" s="8">
        <v>2830</v>
      </c>
      <c r="AB227" s="8">
        <v>118</v>
      </c>
      <c r="AC227" s="8">
        <v>414</v>
      </c>
      <c r="AD227" s="8">
        <v>191</v>
      </c>
      <c r="AE227" s="8">
        <v>325</v>
      </c>
      <c r="AF227" s="8">
        <v>1597</v>
      </c>
      <c r="AG227" s="8">
        <v>251</v>
      </c>
      <c r="AH227" s="8">
        <v>345</v>
      </c>
      <c r="AI227" s="8">
        <v>320</v>
      </c>
      <c r="AJ227" s="8">
        <v>549</v>
      </c>
      <c r="AK227" s="8">
        <v>257</v>
      </c>
      <c r="AL227" s="8">
        <v>260</v>
      </c>
      <c r="AM227" s="8">
        <v>309</v>
      </c>
      <c r="AN227" s="8">
        <v>797</v>
      </c>
      <c r="AO227" s="8">
        <v>285</v>
      </c>
      <c r="AP227" s="8">
        <v>1027</v>
      </c>
      <c r="AQ227" s="8">
        <v>735</v>
      </c>
      <c r="AR227" s="8">
        <v>1084</v>
      </c>
      <c r="AS227" s="8">
        <v>237</v>
      </c>
      <c r="AT227" s="8">
        <v>291</v>
      </c>
      <c r="AU227" s="8">
        <v>353</v>
      </c>
      <c r="AV227" s="8">
        <v>277</v>
      </c>
      <c r="AW227" s="8">
        <v>385</v>
      </c>
      <c r="AX227" s="8">
        <v>150</v>
      </c>
      <c r="AY227" s="8">
        <v>128</v>
      </c>
      <c r="AZ227" s="8">
        <v>864</v>
      </c>
      <c r="BA227" s="8">
        <v>330</v>
      </c>
      <c r="BB227" s="8">
        <v>201</v>
      </c>
      <c r="BC227" s="8">
        <v>170</v>
      </c>
      <c r="BD227" s="8">
        <v>139</v>
      </c>
      <c r="BE227" s="8">
        <v>194</v>
      </c>
      <c r="BF227" s="8">
        <v>316</v>
      </c>
      <c r="BG227" s="8">
        <v>139</v>
      </c>
      <c r="BH227" s="8">
        <v>589</v>
      </c>
      <c r="BI227" s="8">
        <v>173</v>
      </c>
      <c r="BJ227" s="8">
        <v>161</v>
      </c>
      <c r="BK227" s="8">
        <v>277</v>
      </c>
      <c r="BL227" s="8">
        <v>229</v>
      </c>
      <c r="BM227" s="8">
        <v>291</v>
      </c>
      <c r="BN227" s="8">
        <v>1668</v>
      </c>
      <c r="BO227" s="8">
        <v>434</v>
      </c>
      <c r="BP227" s="8">
        <v>236</v>
      </c>
      <c r="BQ227" s="8">
        <v>392</v>
      </c>
      <c r="BR227" s="8">
        <v>318</v>
      </c>
      <c r="BS227" s="8">
        <v>268</v>
      </c>
      <c r="BT227" s="8">
        <v>211</v>
      </c>
      <c r="BU227" s="8">
        <v>258</v>
      </c>
      <c r="BV227" s="8">
        <v>142</v>
      </c>
      <c r="BW227" s="8">
        <v>173</v>
      </c>
      <c r="BX227" s="8">
        <v>136</v>
      </c>
      <c r="BY227" s="8">
        <v>118</v>
      </c>
      <c r="BZ227" s="8">
        <v>149</v>
      </c>
      <c r="CA227" s="8">
        <v>157</v>
      </c>
      <c r="CB227" s="8">
        <v>832</v>
      </c>
      <c r="CC227" s="8">
        <v>690</v>
      </c>
      <c r="CD227" s="8">
        <v>147</v>
      </c>
      <c r="CE227" s="8">
        <v>216</v>
      </c>
      <c r="CF227" s="8">
        <v>231</v>
      </c>
      <c r="CG227" s="8">
        <v>134</v>
      </c>
      <c r="CH227" s="8">
        <v>230</v>
      </c>
      <c r="CJ227" s="9"/>
      <c r="CK227" s="9"/>
      <c r="CL227" s="9"/>
      <c r="CM227" s="9"/>
      <c r="CN227" s="9"/>
      <c r="CO227" s="9"/>
      <c r="CP227" s="9"/>
      <c r="CQ227" s="9"/>
      <c r="CR227" s="9"/>
      <c r="CS227" s="9"/>
      <c r="CT227" s="9"/>
      <c r="CU227" s="9"/>
      <c r="CV227" s="9"/>
      <c r="CW227" s="9"/>
      <c r="CX227" s="9"/>
      <c r="CY227" s="9"/>
      <c r="CZ227" s="9"/>
      <c r="DA227" s="9"/>
      <c r="DB227" s="9"/>
      <c r="DC227" s="9"/>
      <c r="DD227" s="9"/>
      <c r="DE227" s="9"/>
      <c r="DF227" s="9"/>
      <c r="DG227" s="9"/>
      <c r="DH227" s="9"/>
      <c r="DI227" s="9"/>
      <c r="DJ227" s="9"/>
      <c r="DK227" s="9"/>
      <c r="DL227" s="9"/>
      <c r="DM227" s="9"/>
      <c r="DN227" s="9"/>
      <c r="DO227" s="9"/>
      <c r="DP227" s="9"/>
      <c r="DQ227" s="9"/>
      <c r="DR227" s="9"/>
      <c r="DS227" s="9"/>
      <c r="DT227" s="9"/>
      <c r="DU227" s="9"/>
      <c r="DV227" s="9"/>
      <c r="DW227" s="9"/>
      <c r="DX227" s="9"/>
      <c r="DY227" s="9"/>
      <c r="DZ227" s="9"/>
      <c r="EA227" s="9"/>
      <c r="EB227" s="9"/>
      <c r="EC227" s="9"/>
      <c r="ED227" s="9"/>
      <c r="EE227" s="9"/>
      <c r="EF227" s="9"/>
      <c r="EG227" s="9"/>
      <c r="EH227" s="9"/>
      <c r="EI227" s="9"/>
      <c r="EJ227" s="9"/>
      <c r="EK227" s="9"/>
      <c r="EL227" s="9"/>
      <c r="EM227" s="9"/>
      <c r="EN227" s="9"/>
      <c r="EO227" s="9"/>
      <c r="EP227" s="9"/>
      <c r="EQ227" s="9"/>
      <c r="ER227" s="9"/>
      <c r="ES227" s="9"/>
      <c r="ET227" s="9"/>
      <c r="EU227" s="9"/>
      <c r="EV227" s="9"/>
      <c r="EW227" s="9"/>
      <c r="EX227" s="9"/>
      <c r="EY227" s="9"/>
      <c r="EZ227" s="9"/>
      <c r="FA227" s="9"/>
      <c r="FB227" s="9"/>
      <c r="FC227" s="9"/>
      <c r="FD227" s="9"/>
      <c r="FE227" s="9"/>
      <c r="FF227" s="9"/>
      <c r="FG227" s="9"/>
      <c r="FH227" s="9"/>
      <c r="FI227" s="9"/>
    </row>
    <row r="228" spans="1:165" x14ac:dyDescent="0.2">
      <c r="A228" s="1" t="s">
        <v>1272</v>
      </c>
      <c r="B228" s="1" t="s">
        <v>1273</v>
      </c>
      <c r="C228" s="1" t="s">
        <v>571</v>
      </c>
      <c r="D228" s="1" t="str">
        <f>HYPERLINK("http://eros.fiehnlab.ucdavis.edu:8080/binbase-compound/bin/show/213977?db=rtx5","213977")</f>
        <v>213977</v>
      </c>
      <c r="E228" s="1" t="s">
        <v>1274</v>
      </c>
      <c r="F228" s="1" t="s">
        <v>184</v>
      </c>
      <c r="G228" s="1" t="s">
        <v>184</v>
      </c>
      <c r="H228" s="1"/>
      <c r="I228" s="8">
        <v>690</v>
      </c>
      <c r="J228" s="8">
        <v>754</v>
      </c>
      <c r="K228" s="8">
        <v>843</v>
      </c>
      <c r="L228" s="8">
        <v>727</v>
      </c>
      <c r="M228" s="8">
        <v>719</v>
      </c>
      <c r="N228" s="8">
        <v>627</v>
      </c>
      <c r="O228" s="8">
        <v>1427</v>
      </c>
      <c r="P228" s="8">
        <v>1649</v>
      </c>
      <c r="Q228" s="8">
        <v>1778</v>
      </c>
      <c r="R228" s="8">
        <v>1777</v>
      </c>
      <c r="S228" s="8">
        <v>1984</v>
      </c>
      <c r="T228" s="8">
        <v>1142</v>
      </c>
      <c r="U228" s="8">
        <v>1547</v>
      </c>
      <c r="V228" s="8">
        <v>1220</v>
      </c>
      <c r="W228" s="8">
        <v>2588</v>
      </c>
      <c r="X228" s="8">
        <v>1806</v>
      </c>
      <c r="Y228" s="8">
        <v>1372</v>
      </c>
      <c r="Z228" s="8">
        <v>1495</v>
      </c>
      <c r="AA228" s="8">
        <v>910</v>
      </c>
      <c r="AB228" s="8">
        <v>1076</v>
      </c>
      <c r="AC228" s="8">
        <v>1443</v>
      </c>
      <c r="AD228" s="8">
        <v>1179</v>
      </c>
      <c r="AE228" s="8">
        <v>1301</v>
      </c>
      <c r="AF228" s="8">
        <v>1087</v>
      </c>
      <c r="AG228" s="8">
        <v>1184</v>
      </c>
      <c r="AH228" s="8">
        <v>1857</v>
      </c>
      <c r="AI228" s="8">
        <v>2255</v>
      </c>
      <c r="AJ228" s="8">
        <v>2224</v>
      </c>
      <c r="AK228" s="8">
        <v>1700</v>
      </c>
      <c r="AL228" s="8">
        <v>1952</v>
      </c>
      <c r="AM228" s="8">
        <v>2825</v>
      </c>
      <c r="AN228" s="8">
        <v>1732</v>
      </c>
      <c r="AO228" s="8">
        <v>2708</v>
      </c>
      <c r="AP228" s="8">
        <v>2394</v>
      </c>
      <c r="AQ228" s="8">
        <v>2123</v>
      </c>
      <c r="AR228" s="8">
        <v>2890</v>
      </c>
      <c r="AS228" s="8">
        <v>2104</v>
      </c>
      <c r="AT228" s="8">
        <v>2125</v>
      </c>
      <c r="AU228" s="8">
        <v>2823</v>
      </c>
      <c r="AV228" s="8">
        <v>1871</v>
      </c>
      <c r="AW228" s="8">
        <v>3817</v>
      </c>
      <c r="AX228" s="8">
        <v>2305</v>
      </c>
      <c r="AY228" s="8">
        <v>1421</v>
      </c>
      <c r="AZ228" s="8">
        <v>1927</v>
      </c>
      <c r="BA228" s="8">
        <v>1853</v>
      </c>
      <c r="BB228" s="8">
        <v>1352</v>
      </c>
      <c r="BC228" s="8">
        <v>1245</v>
      </c>
      <c r="BD228" s="8">
        <v>1420</v>
      </c>
      <c r="BE228" s="8">
        <v>2136</v>
      </c>
      <c r="BF228" s="8">
        <v>2781</v>
      </c>
      <c r="BG228" s="8">
        <v>1988</v>
      </c>
      <c r="BH228" s="8">
        <v>1562</v>
      </c>
      <c r="BI228" s="8">
        <v>1829</v>
      </c>
      <c r="BJ228" s="8">
        <v>1988</v>
      </c>
      <c r="BK228" s="8">
        <v>2247</v>
      </c>
      <c r="BL228" s="8">
        <v>2278</v>
      </c>
      <c r="BM228" s="8">
        <v>2314</v>
      </c>
      <c r="BN228" s="8">
        <v>2074</v>
      </c>
      <c r="BO228" s="8">
        <v>2174</v>
      </c>
      <c r="BP228" s="8">
        <v>2610</v>
      </c>
      <c r="BQ228" s="8">
        <v>1627</v>
      </c>
      <c r="BR228" s="8">
        <v>1766</v>
      </c>
      <c r="BS228" s="8">
        <v>1708</v>
      </c>
      <c r="BT228" s="8">
        <v>1894</v>
      </c>
      <c r="BU228" s="8">
        <v>1979</v>
      </c>
      <c r="BV228" s="8">
        <v>2285</v>
      </c>
      <c r="BW228" s="8">
        <v>2407</v>
      </c>
      <c r="BX228" s="8">
        <v>2178</v>
      </c>
      <c r="BY228" s="8">
        <v>1656</v>
      </c>
      <c r="BZ228" s="8">
        <v>2227</v>
      </c>
      <c r="CA228" s="8">
        <v>1499</v>
      </c>
      <c r="CB228" s="8">
        <v>1240</v>
      </c>
      <c r="CC228" s="8">
        <v>2199</v>
      </c>
      <c r="CD228" s="8">
        <v>2375</v>
      </c>
      <c r="CE228" s="8">
        <v>2694</v>
      </c>
      <c r="CF228" s="8">
        <v>2416</v>
      </c>
      <c r="CG228" s="8">
        <v>2135</v>
      </c>
      <c r="CH228" s="8">
        <v>3202</v>
      </c>
      <c r="CJ228" s="9"/>
      <c r="CK228" s="9"/>
      <c r="CL228" s="9"/>
      <c r="CM228" s="9"/>
      <c r="CN228" s="9"/>
      <c r="CO228" s="9"/>
      <c r="CP228" s="9"/>
      <c r="CQ228" s="9"/>
      <c r="CR228" s="9"/>
      <c r="CS228" s="9"/>
      <c r="CT228" s="9"/>
      <c r="CU228" s="9"/>
      <c r="CV228" s="9"/>
      <c r="CW228" s="9"/>
      <c r="CX228" s="9"/>
      <c r="CY228" s="9"/>
      <c r="CZ228" s="9"/>
      <c r="DA228" s="9"/>
      <c r="DB228" s="9"/>
      <c r="DC228" s="9"/>
      <c r="DD228" s="9"/>
      <c r="DE228" s="9"/>
      <c r="DF228" s="9"/>
      <c r="DG228" s="9"/>
      <c r="DH228" s="9"/>
      <c r="DI228" s="9"/>
      <c r="DJ228" s="9"/>
      <c r="DK228" s="9"/>
      <c r="DL228" s="9"/>
      <c r="DM228" s="9"/>
      <c r="DN228" s="9"/>
      <c r="DO228" s="9"/>
      <c r="DP228" s="9"/>
      <c r="DQ228" s="9"/>
      <c r="DR228" s="9"/>
      <c r="DS228" s="9"/>
      <c r="DT228" s="9"/>
      <c r="DU228" s="9"/>
      <c r="DV228" s="9"/>
      <c r="DW228" s="9"/>
      <c r="DX228" s="9"/>
      <c r="DY228" s="9"/>
      <c r="DZ228" s="9"/>
      <c r="EA228" s="9"/>
      <c r="EB228" s="9"/>
      <c r="EC228" s="9"/>
      <c r="ED228" s="9"/>
      <c r="EE228" s="9"/>
      <c r="EF228" s="9"/>
      <c r="EG228" s="9"/>
      <c r="EH228" s="9"/>
      <c r="EI228" s="9"/>
      <c r="EJ228" s="9"/>
      <c r="EK228" s="9"/>
      <c r="EL228" s="9"/>
      <c r="EM228" s="9"/>
      <c r="EN228" s="9"/>
      <c r="EO228" s="9"/>
      <c r="EP228" s="9"/>
      <c r="EQ228" s="9"/>
      <c r="ER228" s="9"/>
      <c r="ES228" s="9"/>
      <c r="ET228" s="9"/>
      <c r="EU228" s="9"/>
      <c r="EV228" s="9"/>
      <c r="EW228" s="9"/>
      <c r="EX228" s="9"/>
      <c r="EY228" s="9"/>
      <c r="EZ228" s="9"/>
      <c r="FA228" s="9"/>
      <c r="FB228" s="9"/>
      <c r="FC228" s="9"/>
      <c r="FD228" s="9"/>
      <c r="FE228" s="9"/>
      <c r="FF228" s="9"/>
      <c r="FG228" s="9"/>
      <c r="FH228" s="9"/>
      <c r="FI228" s="9"/>
    </row>
    <row r="229" spans="1:165" x14ac:dyDescent="0.2">
      <c r="A229" s="1" t="s">
        <v>1342</v>
      </c>
      <c r="B229" s="1" t="s">
        <v>1343</v>
      </c>
      <c r="C229" s="1" t="s">
        <v>435</v>
      </c>
      <c r="D229" s="1" t="str">
        <f>HYPERLINK("http://eros.fiehnlab.ucdavis.edu:8080/binbase-compound/bin/show/203765?db=rtx5","203765")</f>
        <v>203765</v>
      </c>
      <c r="E229" s="1" t="s">
        <v>1344</v>
      </c>
      <c r="F229" s="1" t="s">
        <v>184</v>
      </c>
      <c r="G229" s="1" t="s">
        <v>184</v>
      </c>
      <c r="H229" s="1"/>
      <c r="I229" s="8">
        <v>457</v>
      </c>
      <c r="J229" s="8">
        <v>472</v>
      </c>
      <c r="K229" s="8">
        <v>551</v>
      </c>
      <c r="L229" s="8">
        <v>482</v>
      </c>
      <c r="M229" s="8">
        <v>481</v>
      </c>
      <c r="N229" s="8">
        <v>603</v>
      </c>
      <c r="O229" s="8">
        <v>529</v>
      </c>
      <c r="P229" s="8">
        <v>543</v>
      </c>
      <c r="Q229" s="8">
        <v>470</v>
      </c>
      <c r="R229" s="8">
        <v>662</v>
      </c>
      <c r="S229" s="8">
        <v>698</v>
      </c>
      <c r="T229" s="8">
        <v>553</v>
      </c>
      <c r="U229" s="8">
        <v>628</v>
      </c>
      <c r="V229" s="8">
        <v>460</v>
      </c>
      <c r="W229" s="8">
        <v>478</v>
      </c>
      <c r="X229" s="8">
        <v>653</v>
      </c>
      <c r="Y229" s="8">
        <v>548</v>
      </c>
      <c r="Z229" s="8">
        <v>618</v>
      </c>
      <c r="AA229" s="8">
        <v>360</v>
      </c>
      <c r="AB229" s="8">
        <v>569</v>
      </c>
      <c r="AC229" s="8">
        <v>522</v>
      </c>
      <c r="AD229" s="8">
        <v>484</v>
      </c>
      <c r="AE229" s="8">
        <v>591</v>
      </c>
      <c r="AF229" s="8">
        <v>269</v>
      </c>
      <c r="AG229" s="8">
        <v>378</v>
      </c>
      <c r="AH229" s="8">
        <v>453</v>
      </c>
      <c r="AI229" s="8">
        <v>464</v>
      </c>
      <c r="AJ229" s="8">
        <v>550</v>
      </c>
      <c r="AK229" s="8">
        <v>545</v>
      </c>
      <c r="AL229" s="8">
        <v>536</v>
      </c>
      <c r="AM229" s="8">
        <v>713</v>
      </c>
      <c r="AN229" s="8">
        <v>609</v>
      </c>
      <c r="AO229" s="8">
        <v>626</v>
      </c>
      <c r="AP229" s="8">
        <v>516</v>
      </c>
      <c r="AQ229" s="8">
        <v>651</v>
      </c>
      <c r="AR229" s="8">
        <v>549</v>
      </c>
      <c r="AS229" s="8">
        <v>663</v>
      </c>
      <c r="AT229" s="8">
        <v>630</v>
      </c>
      <c r="AU229" s="8">
        <v>433</v>
      </c>
      <c r="AV229" s="8">
        <v>369</v>
      </c>
      <c r="AW229" s="8">
        <v>613</v>
      </c>
      <c r="AX229" s="8">
        <v>516</v>
      </c>
      <c r="AY229" s="8">
        <v>622</v>
      </c>
      <c r="AZ229" s="8">
        <v>558</v>
      </c>
      <c r="BA229" s="8">
        <v>709</v>
      </c>
      <c r="BB229" s="8">
        <v>477</v>
      </c>
      <c r="BC229" s="8">
        <v>649</v>
      </c>
      <c r="BD229" s="8">
        <v>602</v>
      </c>
      <c r="BE229" s="8">
        <v>572</v>
      </c>
      <c r="BF229" s="8">
        <v>364</v>
      </c>
      <c r="BG229" s="8">
        <v>544</v>
      </c>
      <c r="BH229" s="8">
        <v>297</v>
      </c>
      <c r="BI229" s="8">
        <v>398</v>
      </c>
      <c r="BJ229" s="8">
        <v>439</v>
      </c>
      <c r="BK229" s="8">
        <v>573</v>
      </c>
      <c r="BL229" s="8">
        <v>588</v>
      </c>
      <c r="BM229" s="8">
        <v>416</v>
      </c>
      <c r="BN229" s="8">
        <v>390</v>
      </c>
      <c r="BO229" s="8">
        <v>357</v>
      </c>
      <c r="BP229" s="8">
        <v>544</v>
      </c>
      <c r="BQ229" s="8">
        <v>648</v>
      </c>
      <c r="BR229" s="8">
        <v>496</v>
      </c>
      <c r="BS229" s="8">
        <v>361</v>
      </c>
      <c r="BT229" s="8">
        <v>435</v>
      </c>
      <c r="BU229" s="8">
        <v>408</v>
      </c>
      <c r="BV229" s="8">
        <v>615</v>
      </c>
      <c r="BW229" s="8">
        <v>332</v>
      </c>
      <c r="BX229" s="8">
        <v>384</v>
      </c>
      <c r="BY229" s="8">
        <v>344</v>
      </c>
      <c r="BZ229" s="8">
        <v>554</v>
      </c>
      <c r="CA229" s="8">
        <v>539</v>
      </c>
      <c r="CB229" s="8">
        <v>293</v>
      </c>
      <c r="CC229" s="8">
        <v>361</v>
      </c>
      <c r="CD229" s="8">
        <v>418</v>
      </c>
      <c r="CE229" s="8">
        <v>480</v>
      </c>
      <c r="CF229" s="8">
        <v>414</v>
      </c>
      <c r="CG229" s="8">
        <v>279</v>
      </c>
      <c r="CH229" s="8">
        <v>369</v>
      </c>
      <c r="CJ229" s="9"/>
      <c r="CK229" s="9"/>
      <c r="CL229" s="9"/>
      <c r="CM229" s="9"/>
      <c r="CN229" s="9"/>
      <c r="CO229" s="9"/>
      <c r="CP229" s="9"/>
      <c r="CQ229" s="9"/>
      <c r="CR229" s="9"/>
      <c r="CS229" s="9"/>
      <c r="CT229" s="9"/>
      <c r="CU229" s="9"/>
      <c r="CV229" s="9"/>
      <c r="CW229" s="9"/>
      <c r="CX229" s="9"/>
      <c r="CY229" s="9"/>
      <c r="CZ229" s="9"/>
      <c r="DA229" s="9"/>
      <c r="DB229" s="9"/>
      <c r="DC229" s="9"/>
      <c r="DD229" s="9"/>
      <c r="DE229" s="9"/>
      <c r="DF229" s="9"/>
      <c r="DG229" s="9"/>
      <c r="DH229" s="9"/>
      <c r="DI229" s="9"/>
      <c r="DJ229" s="9"/>
      <c r="DK229" s="9"/>
      <c r="DL229" s="9"/>
      <c r="DM229" s="9"/>
      <c r="DN229" s="9"/>
      <c r="DO229" s="9"/>
      <c r="DP229" s="9"/>
      <c r="DQ229" s="9"/>
      <c r="DR229" s="9"/>
      <c r="DS229" s="9"/>
      <c r="DT229" s="9"/>
      <c r="DU229" s="9"/>
      <c r="DV229" s="9"/>
      <c r="DW229" s="9"/>
      <c r="DX229" s="9"/>
      <c r="DY229" s="9"/>
      <c r="DZ229" s="9"/>
      <c r="EA229" s="9"/>
      <c r="EB229" s="9"/>
      <c r="EC229" s="9"/>
      <c r="ED229" s="9"/>
      <c r="EE229" s="9"/>
      <c r="EF229" s="9"/>
      <c r="EG229" s="9"/>
      <c r="EH229" s="9"/>
      <c r="EI229" s="9"/>
      <c r="EJ229" s="9"/>
      <c r="EK229" s="9"/>
      <c r="EL229" s="9"/>
      <c r="EM229" s="9"/>
      <c r="EN229" s="9"/>
      <c r="EO229" s="9"/>
      <c r="EP229" s="9"/>
      <c r="EQ229" s="9"/>
      <c r="ER229" s="9"/>
      <c r="ES229" s="9"/>
      <c r="ET229" s="9"/>
      <c r="EU229" s="9"/>
      <c r="EV229" s="9"/>
      <c r="EW229" s="9"/>
      <c r="EX229" s="9"/>
      <c r="EY229" s="9"/>
      <c r="EZ229" s="9"/>
      <c r="FA229" s="9"/>
      <c r="FB229" s="9"/>
      <c r="FC229" s="9"/>
      <c r="FD229" s="9"/>
      <c r="FE229" s="9"/>
      <c r="FF229" s="9"/>
      <c r="FG229" s="9"/>
      <c r="FH229" s="9"/>
      <c r="FI229" s="9"/>
    </row>
    <row r="230" spans="1:165" x14ac:dyDescent="0.2">
      <c r="A230" s="1" t="s">
        <v>1189</v>
      </c>
      <c r="B230" s="1" t="s">
        <v>1190</v>
      </c>
      <c r="C230" s="1" t="s">
        <v>1191</v>
      </c>
      <c r="D230" s="1" t="str">
        <f>HYPERLINK("http://eros.fiehnlab.ucdavis.edu:8080/binbase-compound/bin/show/225262?db=rtx5","225262")</f>
        <v>225262</v>
      </c>
      <c r="E230" s="1" t="s">
        <v>1192</v>
      </c>
      <c r="F230" s="1" t="s">
        <v>184</v>
      </c>
      <c r="G230" s="1" t="s">
        <v>184</v>
      </c>
      <c r="H230" s="1"/>
      <c r="I230" s="8">
        <v>670</v>
      </c>
      <c r="J230" s="8">
        <v>541</v>
      </c>
      <c r="K230" s="8">
        <v>251</v>
      </c>
      <c r="L230" s="8">
        <v>188</v>
      </c>
      <c r="M230" s="8">
        <v>210</v>
      </c>
      <c r="N230" s="8">
        <v>140</v>
      </c>
      <c r="O230" s="8">
        <v>716</v>
      </c>
      <c r="P230" s="8">
        <v>429</v>
      </c>
      <c r="Q230" s="8">
        <v>153</v>
      </c>
      <c r="R230" s="8">
        <v>212</v>
      </c>
      <c r="S230" s="8">
        <v>262</v>
      </c>
      <c r="T230" s="8">
        <v>205</v>
      </c>
      <c r="U230" s="8">
        <v>133</v>
      </c>
      <c r="V230" s="8">
        <v>105</v>
      </c>
      <c r="W230" s="8">
        <v>138</v>
      </c>
      <c r="X230" s="8">
        <v>274</v>
      </c>
      <c r="Y230" s="8">
        <v>179</v>
      </c>
      <c r="Z230" s="8">
        <v>117</v>
      </c>
      <c r="AA230" s="8">
        <v>266</v>
      </c>
      <c r="AB230" s="8">
        <v>643</v>
      </c>
      <c r="AC230" s="8">
        <v>219</v>
      </c>
      <c r="AD230" s="8">
        <v>237</v>
      </c>
      <c r="AE230" s="8">
        <v>140</v>
      </c>
      <c r="AF230" s="8">
        <v>145</v>
      </c>
      <c r="AG230" s="8">
        <v>354</v>
      </c>
      <c r="AH230" s="8">
        <v>92</v>
      </c>
      <c r="AI230" s="8">
        <v>222</v>
      </c>
      <c r="AJ230" s="8">
        <v>167</v>
      </c>
      <c r="AK230" s="8">
        <v>262</v>
      </c>
      <c r="AL230" s="8">
        <v>146</v>
      </c>
      <c r="AM230" s="8">
        <v>540</v>
      </c>
      <c r="AN230" s="8">
        <v>108</v>
      </c>
      <c r="AO230" s="8">
        <v>212</v>
      </c>
      <c r="AP230" s="8">
        <v>105</v>
      </c>
      <c r="AQ230" s="8">
        <v>191</v>
      </c>
      <c r="AR230" s="8">
        <v>124</v>
      </c>
      <c r="AS230" s="8">
        <v>664</v>
      </c>
      <c r="AT230" s="8">
        <v>125</v>
      </c>
      <c r="AU230" s="8">
        <v>498</v>
      </c>
      <c r="AV230" s="8">
        <v>523</v>
      </c>
      <c r="AW230" s="8">
        <v>181</v>
      </c>
      <c r="AX230" s="8">
        <v>217</v>
      </c>
      <c r="AY230" s="8">
        <v>254</v>
      </c>
      <c r="AZ230" s="8">
        <v>152</v>
      </c>
      <c r="BA230" s="8">
        <v>309</v>
      </c>
      <c r="BB230" s="8">
        <v>288</v>
      </c>
      <c r="BC230" s="8">
        <v>201</v>
      </c>
      <c r="BD230" s="8">
        <v>97</v>
      </c>
      <c r="BE230" s="8">
        <v>567</v>
      </c>
      <c r="BF230" s="8">
        <v>194</v>
      </c>
      <c r="BG230" s="8">
        <v>618</v>
      </c>
      <c r="BH230" s="8">
        <v>394</v>
      </c>
      <c r="BI230" s="8">
        <v>187</v>
      </c>
      <c r="BJ230" s="8">
        <v>200</v>
      </c>
      <c r="BK230" s="8">
        <v>138</v>
      </c>
      <c r="BL230" s="8">
        <v>584</v>
      </c>
      <c r="BM230" s="8">
        <v>995</v>
      </c>
      <c r="BN230" s="8">
        <v>151</v>
      </c>
      <c r="BO230" s="8">
        <v>127</v>
      </c>
      <c r="BP230" s="8">
        <v>204</v>
      </c>
      <c r="BQ230" s="8">
        <v>461</v>
      </c>
      <c r="BR230" s="8">
        <v>394</v>
      </c>
      <c r="BS230" s="8">
        <v>350</v>
      </c>
      <c r="BT230" s="8">
        <v>141</v>
      </c>
      <c r="BU230" s="8">
        <v>182</v>
      </c>
      <c r="BV230" s="8">
        <v>98</v>
      </c>
      <c r="BW230" s="8">
        <v>644</v>
      </c>
      <c r="BX230" s="8">
        <v>152</v>
      </c>
      <c r="BY230" s="8">
        <v>218</v>
      </c>
      <c r="BZ230" s="8">
        <v>152</v>
      </c>
      <c r="CA230" s="8">
        <v>281</v>
      </c>
      <c r="CB230" s="8">
        <v>88</v>
      </c>
      <c r="CC230" s="8">
        <v>101</v>
      </c>
      <c r="CD230" s="8">
        <v>112</v>
      </c>
      <c r="CE230" s="8">
        <v>93</v>
      </c>
      <c r="CF230" s="8">
        <v>176</v>
      </c>
      <c r="CG230" s="8">
        <v>104</v>
      </c>
      <c r="CH230" s="8">
        <v>260</v>
      </c>
      <c r="CJ230" s="9"/>
      <c r="CK230" s="9"/>
      <c r="CL230" s="9"/>
      <c r="CM230" s="9"/>
      <c r="CN230" s="9"/>
      <c r="CO230" s="9"/>
      <c r="CP230" s="9"/>
      <c r="CQ230" s="9"/>
      <c r="CR230" s="9"/>
      <c r="CS230" s="9"/>
      <c r="CT230" s="9"/>
      <c r="CU230" s="9"/>
      <c r="CV230" s="9"/>
      <c r="CW230" s="9"/>
      <c r="CX230" s="9"/>
      <c r="CY230" s="9"/>
      <c r="CZ230" s="9"/>
      <c r="DA230" s="9"/>
      <c r="DB230" s="9"/>
      <c r="DC230" s="9"/>
      <c r="DD230" s="9"/>
      <c r="DE230" s="9"/>
      <c r="DF230" s="9"/>
      <c r="DG230" s="9"/>
      <c r="DH230" s="9"/>
      <c r="DI230" s="9"/>
      <c r="DJ230" s="9"/>
      <c r="DK230" s="9"/>
      <c r="DL230" s="9"/>
      <c r="DM230" s="9"/>
      <c r="DN230" s="9"/>
      <c r="DO230" s="9"/>
      <c r="DP230" s="9"/>
      <c r="DQ230" s="9"/>
      <c r="DR230" s="9"/>
      <c r="DS230" s="9"/>
      <c r="DT230" s="9"/>
      <c r="DU230" s="9"/>
      <c r="DV230" s="9"/>
      <c r="DW230" s="9"/>
      <c r="DX230" s="9"/>
      <c r="DY230" s="9"/>
      <c r="DZ230" s="9"/>
      <c r="EA230" s="9"/>
      <c r="EB230" s="9"/>
      <c r="EC230" s="9"/>
      <c r="ED230" s="9"/>
      <c r="EE230" s="9"/>
      <c r="EF230" s="9"/>
      <c r="EG230" s="9"/>
      <c r="EH230" s="9"/>
      <c r="EI230" s="9"/>
      <c r="EJ230" s="9"/>
      <c r="EK230" s="9"/>
      <c r="EL230" s="9"/>
      <c r="EM230" s="9"/>
      <c r="EN230" s="9"/>
      <c r="EO230" s="9"/>
      <c r="EP230" s="9"/>
      <c r="EQ230" s="9"/>
      <c r="ER230" s="9"/>
      <c r="ES230" s="9"/>
      <c r="ET230" s="9"/>
      <c r="EU230" s="9"/>
      <c r="EV230" s="9"/>
      <c r="EW230" s="9"/>
      <c r="EX230" s="9"/>
      <c r="EY230" s="9"/>
      <c r="EZ230" s="9"/>
      <c r="FA230" s="9"/>
      <c r="FB230" s="9"/>
      <c r="FC230" s="9"/>
      <c r="FD230" s="9"/>
      <c r="FE230" s="9"/>
      <c r="FF230" s="9"/>
      <c r="FG230" s="9"/>
      <c r="FH230" s="9"/>
      <c r="FI230" s="9"/>
    </row>
    <row r="231" spans="1:165" x14ac:dyDescent="0.2">
      <c r="A231" s="1" t="s">
        <v>1284</v>
      </c>
      <c r="B231" s="1" t="s">
        <v>1285</v>
      </c>
      <c r="C231" s="1" t="s">
        <v>1016</v>
      </c>
      <c r="D231" s="1" t="str">
        <f>HYPERLINK("http://eros.fiehnlab.ucdavis.edu:8080/binbase-compound/bin/show/213353?db=rtx5","213353")</f>
        <v>213353</v>
      </c>
      <c r="E231" s="1" t="s">
        <v>1286</v>
      </c>
      <c r="F231" s="1" t="s">
        <v>184</v>
      </c>
      <c r="G231" s="1" t="s">
        <v>184</v>
      </c>
      <c r="H231" s="1"/>
      <c r="I231" s="8">
        <v>544</v>
      </c>
      <c r="J231" s="8">
        <v>501</v>
      </c>
      <c r="K231" s="8">
        <v>508</v>
      </c>
      <c r="L231" s="8">
        <v>602</v>
      </c>
      <c r="M231" s="8">
        <v>247</v>
      </c>
      <c r="N231" s="8">
        <v>341</v>
      </c>
      <c r="O231" s="8">
        <v>353</v>
      </c>
      <c r="P231" s="8">
        <v>297</v>
      </c>
      <c r="Q231" s="8">
        <v>290</v>
      </c>
      <c r="R231" s="8">
        <v>398</v>
      </c>
      <c r="S231" s="8">
        <v>219</v>
      </c>
      <c r="T231" s="8">
        <v>172</v>
      </c>
      <c r="U231" s="8">
        <v>168</v>
      </c>
      <c r="V231" s="8">
        <v>319</v>
      </c>
      <c r="W231" s="8">
        <v>224</v>
      </c>
      <c r="X231" s="8">
        <v>306</v>
      </c>
      <c r="Y231" s="8">
        <v>115</v>
      </c>
      <c r="Z231" s="8">
        <v>275</v>
      </c>
      <c r="AA231" s="8">
        <v>269</v>
      </c>
      <c r="AB231" s="8">
        <v>368</v>
      </c>
      <c r="AC231" s="8">
        <v>519</v>
      </c>
      <c r="AD231" s="8">
        <v>517</v>
      </c>
      <c r="AE231" s="8">
        <v>389</v>
      </c>
      <c r="AF231" s="8">
        <v>208</v>
      </c>
      <c r="AG231" s="8">
        <v>174</v>
      </c>
      <c r="AH231" s="8">
        <v>292</v>
      </c>
      <c r="AI231" s="8">
        <v>160</v>
      </c>
      <c r="AJ231" s="8">
        <v>279</v>
      </c>
      <c r="AK231" s="8">
        <v>321</v>
      </c>
      <c r="AL231" s="8">
        <v>364</v>
      </c>
      <c r="AM231" s="8">
        <v>486</v>
      </c>
      <c r="AN231" s="8">
        <v>274</v>
      </c>
      <c r="AO231" s="8">
        <v>427</v>
      </c>
      <c r="AP231" s="8">
        <v>313</v>
      </c>
      <c r="AQ231" s="8">
        <v>178</v>
      </c>
      <c r="AR231" s="8">
        <v>259</v>
      </c>
      <c r="AS231" s="8">
        <v>366</v>
      </c>
      <c r="AT231" s="8">
        <v>284</v>
      </c>
      <c r="AU231" s="8">
        <v>354</v>
      </c>
      <c r="AV231" s="8">
        <v>326</v>
      </c>
      <c r="AW231" s="8">
        <v>130</v>
      </c>
      <c r="AX231" s="8">
        <v>221</v>
      </c>
      <c r="AY231" s="8">
        <v>259</v>
      </c>
      <c r="AZ231" s="8">
        <v>153</v>
      </c>
      <c r="BA231" s="8">
        <v>168</v>
      </c>
      <c r="BB231" s="8">
        <v>262</v>
      </c>
      <c r="BC231" s="8">
        <v>208</v>
      </c>
      <c r="BD231" s="8">
        <v>257</v>
      </c>
      <c r="BE231" s="8">
        <v>344</v>
      </c>
      <c r="BF231" s="8">
        <v>258</v>
      </c>
      <c r="BG231" s="8">
        <v>185</v>
      </c>
      <c r="BH231" s="8">
        <v>325</v>
      </c>
      <c r="BI231" s="8">
        <v>132</v>
      </c>
      <c r="BJ231" s="8">
        <v>282</v>
      </c>
      <c r="BK231" s="8">
        <v>380</v>
      </c>
      <c r="BL231" s="8">
        <v>671</v>
      </c>
      <c r="BM231" s="8">
        <v>509</v>
      </c>
      <c r="BN231" s="8">
        <v>220</v>
      </c>
      <c r="BO231" s="8">
        <v>175</v>
      </c>
      <c r="BP231" s="8">
        <v>368</v>
      </c>
      <c r="BQ231" s="8">
        <v>361</v>
      </c>
      <c r="BR231" s="8">
        <v>225</v>
      </c>
      <c r="BS231" s="8">
        <v>297</v>
      </c>
      <c r="BT231" s="8">
        <v>254</v>
      </c>
      <c r="BU231" s="8">
        <v>261</v>
      </c>
      <c r="BV231" s="8">
        <v>314</v>
      </c>
      <c r="BW231" s="8">
        <v>486</v>
      </c>
      <c r="BX231" s="8">
        <v>309</v>
      </c>
      <c r="BY231" s="8">
        <v>326</v>
      </c>
      <c r="BZ231" s="8">
        <v>324</v>
      </c>
      <c r="CA231" s="8">
        <v>324</v>
      </c>
      <c r="CB231" s="8">
        <v>217</v>
      </c>
      <c r="CC231" s="8">
        <v>166</v>
      </c>
      <c r="CD231" s="8">
        <v>268</v>
      </c>
      <c r="CE231" s="8">
        <v>307</v>
      </c>
      <c r="CF231" s="8">
        <v>238</v>
      </c>
      <c r="CG231" s="8">
        <v>185</v>
      </c>
      <c r="CH231" s="8">
        <v>276</v>
      </c>
      <c r="CJ231" s="9"/>
      <c r="CK231" s="9"/>
      <c r="CL231" s="9"/>
      <c r="CM231" s="9"/>
      <c r="CN231" s="9"/>
      <c r="CO231" s="9"/>
      <c r="CP231" s="9"/>
      <c r="CQ231" s="9"/>
      <c r="CR231" s="9"/>
      <c r="CS231" s="9"/>
      <c r="CT231" s="9"/>
      <c r="CU231" s="9"/>
      <c r="CV231" s="9"/>
      <c r="CW231" s="9"/>
      <c r="CX231" s="9"/>
      <c r="CY231" s="9"/>
      <c r="CZ231" s="9"/>
      <c r="DA231" s="9"/>
      <c r="DB231" s="9"/>
      <c r="DC231" s="9"/>
      <c r="DD231" s="9"/>
      <c r="DE231" s="9"/>
      <c r="DF231" s="9"/>
      <c r="DG231" s="9"/>
      <c r="DH231" s="9"/>
      <c r="DI231" s="9"/>
      <c r="DJ231" s="9"/>
      <c r="DK231" s="9"/>
      <c r="DL231" s="9"/>
      <c r="DM231" s="9"/>
      <c r="DN231" s="9"/>
      <c r="DO231" s="9"/>
      <c r="DP231" s="9"/>
      <c r="DQ231" s="9"/>
      <c r="DR231" s="9"/>
      <c r="DS231" s="9"/>
      <c r="DT231" s="9"/>
      <c r="DU231" s="9"/>
      <c r="DV231" s="9"/>
      <c r="DW231" s="9"/>
      <c r="DX231" s="9"/>
      <c r="DY231" s="9"/>
      <c r="DZ231" s="9"/>
      <c r="EA231" s="9"/>
      <c r="EB231" s="9"/>
      <c r="EC231" s="9"/>
      <c r="ED231" s="9"/>
      <c r="EE231" s="9"/>
      <c r="EF231" s="9"/>
      <c r="EG231" s="9"/>
      <c r="EH231" s="9"/>
      <c r="EI231" s="9"/>
      <c r="EJ231" s="9"/>
      <c r="EK231" s="9"/>
      <c r="EL231" s="9"/>
      <c r="EM231" s="9"/>
      <c r="EN231" s="9"/>
      <c r="EO231" s="9"/>
      <c r="EP231" s="9"/>
      <c r="EQ231" s="9"/>
      <c r="ER231" s="9"/>
      <c r="ES231" s="9"/>
      <c r="ET231" s="9"/>
      <c r="EU231" s="9"/>
      <c r="EV231" s="9"/>
      <c r="EW231" s="9"/>
      <c r="EX231" s="9"/>
      <c r="EY231" s="9"/>
      <c r="EZ231" s="9"/>
      <c r="FA231" s="9"/>
      <c r="FB231" s="9"/>
      <c r="FC231" s="9"/>
      <c r="FD231" s="9"/>
      <c r="FE231" s="9"/>
      <c r="FF231" s="9"/>
      <c r="FG231" s="9"/>
      <c r="FH231" s="9"/>
      <c r="FI231" s="9"/>
    </row>
    <row r="232" spans="1:165" x14ac:dyDescent="0.2">
      <c r="A232" s="1" t="s">
        <v>660</v>
      </c>
      <c r="B232" s="1" t="s">
        <v>661</v>
      </c>
      <c r="C232" s="1" t="s">
        <v>304</v>
      </c>
      <c r="D232" s="1" t="str">
        <f>HYPERLINK("http://eros.fiehnlab.ucdavis.edu:8080/binbase-compound/bin/show/374008?db=rtx5","374008")</f>
        <v>374008</v>
      </c>
      <c r="E232" s="1" t="s">
        <v>662</v>
      </c>
      <c r="F232" s="1" t="s">
        <v>184</v>
      </c>
      <c r="G232" s="1" t="s">
        <v>184</v>
      </c>
      <c r="H232" s="1"/>
      <c r="I232" s="8">
        <v>30815</v>
      </c>
      <c r="J232" s="8">
        <v>31261</v>
      </c>
      <c r="K232" s="8">
        <v>33116</v>
      </c>
      <c r="L232" s="8">
        <v>28552</v>
      </c>
      <c r="M232" s="8">
        <v>35100</v>
      </c>
      <c r="N232" s="8">
        <v>30741</v>
      </c>
      <c r="O232" s="8">
        <v>32645</v>
      </c>
      <c r="P232" s="8">
        <v>43568</v>
      </c>
      <c r="Q232" s="8">
        <v>31289</v>
      </c>
      <c r="R232" s="8">
        <v>35248</v>
      </c>
      <c r="S232" s="8">
        <v>40953</v>
      </c>
      <c r="T232" s="8">
        <v>21882</v>
      </c>
      <c r="U232" s="8">
        <v>25582</v>
      </c>
      <c r="V232" s="8">
        <v>22996</v>
      </c>
      <c r="W232" s="8">
        <v>23371</v>
      </c>
      <c r="X232" s="8">
        <v>44705</v>
      </c>
      <c r="Y232" s="8">
        <v>25590</v>
      </c>
      <c r="Z232" s="8">
        <v>24156</v>
      </c>
      <c r="AA232" s="8">
        <v>20077</v>
      </c>
      <c r="AB232" s="8">
        <v>25741</v>
      </c>
      <c r="AC232" s="8">
        <v>29775</v>
      </c>
      <c r="AD232" s="8">
        <v>39777</v>
      </c>
      <c r="AE232" s="8">
        <v>29614</v>
      </c>
      <c r="AF232" s="8">
        <v>22227</v>
      </c>
      <c r="AG232" s="8">
        <v>22607</v>
      </c>
      <c r="AH232" s="8">
        <v>26648</v>
      </c>
      <c r="AI232" s="8">
        <v>27283</v>
      </c>
      <c r="AJ232" s="8">
        <v>41403</v>
      </c>
      <c r="AK232" s="8">
        <v>34894</v>
      </c>
      <c r="AL232" s="8">
        <v>34297</v>
      </c>
      <c r="AM232" s="8">
        <v>44230</v>
      </c>
      <c r="AN232" s="8">
        <v>31420</v>
      </c>
      <c r="AO232" s="8">
        <v>29567</v>
      </c>
      <c r="AP232" s="8">
        <v>36239</v>
      </c>
      <c r="AQ232" s="8">
        <v>36841</v>
      </c>
      <c r="AR232" s="8">
        <v>30485</v>
      </c>
      <c r="AS232" s="8">
        <v>37056</v>
      </c>
      <c r="AT232" s="8">
        <v>33792</v>
      </c>
      <c r="AU232" s="8">
        <v>27357</v>
      </c>
      <c r="AV232" s="8">
        <v>25420</v>
      </c>
      <c r="AW232" s="8">
        <v>34429</v>
      </c>
      <c r="AX232" s="8">
        <v>28258</v>
      </c>
      <c r="AY232" s="8">
        <v>29357</v>
      </c>
      <c r="AZ232" s="8">
        <v>35568</v>
      </c>
      <c r="BA232" s="8">
        <v>36446</v>
      </c>
      <c r="BB232" s="8">
        <v>40517</v>
      </c>
      <c r="BC232" s="8">
        <v>49428</v>
      </c>
      <c r="BD232" s="8">
        <v>34174</v>
      </c>
      <c r="BE232" s="8">
        <v>40490</v>
      </c>
      <c r="BF232" s="8">
        <v>32943</v>
      </c>
      <c r="BG232" s="8">
        <v>26280</v>
      </c>
      <c r="BH232" s="8">
        <v>23883</v>
      </c>
      <c r="BI232" s="8">
        <v>30792</v>
      </c>
      <c r="BJ232" s="8">
        <v>35103</v>
      </c>
      <c r="BK232" s="8">
        <v>33659</v>
      </c>
      <c r="BL232" s="8">
        <v>37860</v>
      </c>
      <c r="BM232" s="8">
        <v>31954</v>
      </c>
      <c r="BN232" s="8">
        <v>28431</v>
      </c>
      <c r="BO232" s="8">
        <v>41349</v>
      </c>
      <c r="BP232" s="8">
        <v>32317</v>
      </c>
      <c r="BQ232" s="8">
        <v>28453</v>
      </c>
      <c r="BR232" s="8">
        <v>28617</v>
      </c>
      <c r="BS232" s="8">
        <v>29201</v>
      </c>
      <c r="BT232" s="8">
        <v>30465</v>
      </c>
      <c r="BU232" s="8">
        <v>31037</v>
      </c>
      <c r="BV232" s="8">
        <v>34692</v>
      </c>
      <c r="BW232" s="8">
        <v>29871</v>
      </c>
      <c r="BX232" s="8">
        <v>32123</v>
      </c>
      <c r="BY232" s="8">
        <v>24059</v>
      </c>
      <c r="BZ232" s="8">
        <v>29446</v>
      </c>
      <c r="CA232" s="8">
        <v>28864</v>
      </c>
      <c r="CB232" s="8">
        <v>27434</v>
      </c>
      <c r="CC232" s="8">
        <v>28606</v>
      </c>
      <c r="CD232" s="8">
        <v>29633</v>
      </c>
      <c r="CE232" s="8">
        <v>28775</v>
      </c>
      <c r="CF232" s="8">
        <v>24237</v>
      </c>
      <c r="CG232" s="8">
        <v>29263</v>
      </c>
      <c r="CH232" s="8">
        <v>29829</v>
      </c>
      <c r="CJ232" s="9"/>
      <c r="CK232" s="9"/>
      <c r="CL232" s="9"/>
      <c r="CM232" s="9"/>
      <c r="CN232" s="9"/>
      <c r="CO232" s="9"/>
      <c r="CP232" s="9"/>
      <c r="CQ232" s="9"/>
      <c r="CR232" s="9"/>
      <c r="CS232" s="9"/>
      <c r="CT232" s="9"/>
      <c r="CU232" s="9"/>
      <c r="CV232" s="9"/>
      <c r="CW232" s="9"/>
      <c r="CX232" s="9"/>
      <c r="CY232" s="9"/>
      <c r="CZ232" s="9"/>
      <c r="DA232" s="9"/>
      <c r="DB232" s="9"/>
      <c r="DC232" s="9"/>
      <c r="DD232" s="9"/>
      <c r="DE232" s="9"/>
      <c r="DF232" s="9"/>
      <c r="DG232" s="9"/>
      <c r="DH232" s="9"/>
      <c r="DI232" s="9"/>
      <c r="DJ232" s="9"/>
      <c r="DK232" s="9"/>
      <c r="DL232" s="9"/>
      <c r="DM232" s="9"/>
      <c r="DN232" s="9"/>
      <c r="DO232" s="9"/>
      <c r="DP232" s="9"/>
      <c r="DQ232" s="9"/>
      <c r="DR232" s="9"/>
      <c r="DS232" s="9"/>
      <c r="DT232" s="9"/>
      <c r="DU232" s="9"/>
      <c r="DV232" s="9"/>
      <c r="DW232" s="9"/>
      <c r="DX232" s="9"/>
      <c r="DY232" s="9"/>
      <c r="DZ232" s="9"/>
      <c r="EA232" s="9"/>
      <c r="EB232" s="9"/>
      <c r="EC232" s="9"/>
      <c r="ED232" s="9"/>
      <c r="EE232" s="9"/>
      <c r="EF232" s="9"/>
      <c r="EG232" s="9"/>
      <c r="EH232" s="9"/>
      <c r="EI232" s="9"/>
      <c r="EJ232" s="9"/>
      <c r="EK232" s="9"/>
      <c r="EL232" s="9"/>
      <c r="EM232" s="9"/>
      <c r="EN232" s="9"/>
      <c r="EO232" s="9"/>
      <c r="EP232" s="9"/>
      <c r="EQ232" s="9"/>
      <c r="ER232" s="9"/>
      <c r="ES232" s="9"/>
      <c r="ET232" s="9"/>
      <c r="EU232" s="9"/>
      <c r="EV232" s="9"/>
      <c r="EW232" s="9"/>
      <c r="EX232" s="9"/>
      <c r="EY232" s="9"/>
      <c r="EZ232" s="9"/>
      <c r="FA232" s="9"/>
      <c r="FB232" s="9"/>
      <c r="FC232" s="9"/>
      <c r="FD232" s="9"/>
      <c r="FE232" s="9"/>
      <c r="FF232" s="9"/>
      <c r="FG232" s="9"/>
      <c r="FH232" s="9"/>
      <c r="FI232" s="9"/>
    </row>
    <row r="233" spans="1:165" x14ac:dyDescent="0.2">
      <c r="A233" s="1" t="s">
        <v>1200</v>
      </c>
      <c r="B233" s="1" t="s">
        <v>1201</v>
      </c>
      <c r="C233" s="1" t="s">
        <v>809</v>
      </c>
      <c r="D233" s="1" t="str">
        <f>HYPERLINK("http://eros.fiehnlab.ucdavis.edu:8080/binbase-compound/bin/show/224795?db=rtx5","224795")</f>
        <v>224795</v>
      </c>
      <c r="E233" s="1" t="s">
        <v>1202</v>
      </c>
      <c r="F233" s="1" t="s">
        <v>184</v>
      </c>
      <c r="G233" s="1" t="s">
        <v>184</v>
      </c>
      <c r="H233" s="1"/>
      <c r="I233" s="8">
        <v>572</v>
      </c>
      <c r="J233" s="8">
        <v>661</v>
      </c>
      <c r="K233" s="8">
        <v>755</v>
      </c>
      <c r="L233" s="8">
        <v>709</v>
      </c>
      <c r="M233" s="8">
        <v>747</v>
      </c>
      <c r="N233" s="8">
        <v>770</v>
      </c>
      <c r="O233" s="8">
        <v>511</v>
      </c>
      <c r="P233" s="8">
        <v>539</v>
      </c>
      <c r="Q233" s="8">
        <v>557</v>
      </c>
      <c r="R233" s="8">
        <v>639</v>
      </c>
      <c r="S233" s="8">
        <v>537</v>
      </c>
      <c r="T233" s="8">
        <v>548</v>
      </c>
      <c r="U233" s="8">
        <v>324</v>
      </c>
      <c r="V233" s="8">
        <v>620</v>
      </c>
      <c r="W233" s="8">
        <v>419</v>
      </c>
      <c r="X233" s="8">
        <v>645</v>
      </c>
      <c r="Y233" s="8">
        <v>398</v>
      </c>
      <c r="Z233" s="8">
        <v>684</v>
      </c>
      <c r="AA233" s="8">
        <v>224</v>
      </c>
      <c r="AB233" s="8">
        <v>667</v>
      </c>
      <c r="AC233" s="8">
        <v>756</v>
      </c>
      <c r="AD233" s="8">
        <v>657</v>
      </c>
      <c r="AE233" s="8">
        <v>506</v>
      </c>
      <c r="AF233" s="8">
        <v>372</v>
      </c>
      <c r="AG233" s="8">
        <v>412</v>
      </c>
      <c r="AH233" s="8">
        <v>633</v>
      </c>
      <c r="AI233" s="8">
        <v>684</v>
      </c>
      <c r="AJ233" s="8">
        <v>619</v>
      </c>
      <c r="AK233" s="8">
        <v>481</v>
      </c>
      <c r="AL233" s="8">
        <v>744</v>
      </c>
      <c r="AM233" s="8">
        <v>637</v>
      </c>
      <c r="AN233" s="8">
        <v>549</v>
      </c>
      <c r="AO233" s="8">
        <v>499</v>
      </c>
      <c r="AP233" s="8">
        <v>554</v>
      </c>
      <c r="AQ233" s="8">
        <v>776</v>
      </c>
      <c r="AR233" s="8">
        <v>691</v>
      </c>
      <c r="AS233" s="8">
        <v>528</v>
      </c>
      <c r="AT233" s="8">
        <v>292</v>
      </c>
      <c r="AU233" s="8">
        <v>558</v>
      </c>
      <c r="AV233" s="8">
        <v>591</v>
      </c>
      <c r="AW233" s="8">
        <v>456</v>
      </c>
      <c r="AX233" s="8">
        <v>467</v>
      </c>
      <c r="AY233" s="8">
        <v>651</v>
      </c>
      <c r="AZ233" s="8">
        <v>534</v>
      </c>
      <c r="BA233" s="8">
        <v>569</v>
      </c>
      <c r="BB233" s="8">
        <v>669</v>
      </c>
      <c r="BC233" s="8">
        <v>999</v>
      </c>
      <c r="BD233" s="8">
        <v>618</v>
      </c>
      <c r="BE233" s="8">
        <v>367</v>
      </c>
      <c r="BF233" s="8">
        <v>463</v>
      </c>
      <c r="BG233" s="8">
        <v>347</v>
      </c>
      <c r="BH233" s="8">
        <v>504</v>
      </c>
      <c r="BI233" s="8">
        <v>547</v>
      </c>
      <c r="BJ233" s="8">
        <v>719</v>
      </c>
      <c r="BK233" s="8">
        <v>495</v>
      </c>
      <c r="BL233" s="8">
        <v>671</v>
      </c>
      <c r="BM233" s="8">
        <v>615</v>
      </c>
      <c r="BN233" s="8">
        <v>377</v>
      </c>
      <c r="BO233" s="8">
        <v>530</v>
      </c>
      <c r="BP233" s="8">
        <v>528</v>
      </c>
      <c r="BQ233" s="8">
        <v>528</v>
      </c>
      <c r="BR233" s="8">
        <v>362</v>
      </c>
      <c r="BS233" s="8">
        <v>529</v>
      </c>
      <c r="BT233" s="8">
        <v>376</v>
      </c>
      <c r="BU233" s="8">
        <v>690</v>
      </c>
      <c r="BV233" s="8">
        <v>577</v>
      </c>
      <c r="BW233" s="8">
        <v>524</v>
      </c>
      <c r="BX233" s="8">
        <v>506</v>
      </c>
      <c r="BY233" s="8">
        <v>561</v>
      </c>
      <c r="BZ233" s="8">
        <v>468</v>
      </c>
      <c r="CA233" s="8">
        <v>639</v>
      </c>
      <c r="CB233" s="8">
        <v>794</v>
      </c>
      <c r="CC233" s="8">
        <v>492</v>
      </c>
      <c r="CD233" s="8">
        <v>576</v>
      </c>
      <c r="CE233" s="8">
        <v>392</v>
      </c>
      <c r="CF233" s="8">
        <v>461</v>
      </c>
      <c r="CG233" s="8">
        <v>613</v>
      </c>
      <c r="CH233" s="8">
        <v>567</v>
      </c>
      <c r="CJ233" s="9"/>
      <c r="CK233" s="9"/>
      <c r="CL233" s="9"/>
      <c r="CM233" s="9"/>
      <c r="CN233" s="9"/>
      <c r="CO233" s="9"/>
      <c r="CP233" s="9"/>
      <c r="CQ233" s="9"/>
      <c r="CR233" s="9"/>
      <c r="CS233" s="9"/>
      <c r="CT233" s="9"/>
      <c r="CU233" s="9"/>
      <c r="CV233" s="9"/>
      <c r="CW233" s="9"/>
      <c r="CX233" s="9"/>
      <c r="CY233" s="9"/>
      <c r="CZ233" s="9"/>
      <c r="DA233" s="9"/>
      <c r="DB233" s="9"/>
      <c r="DC233" s="9"/>
      <c r="DD233" s="9"/>
      <c r="DE233" s="9"/>
      <c r="DF233" s="9"/>
      <c r="DG233" s="9"/>
      <c r="DH233" s="9"/>
      <c r="DI233" s="9"/>
      <c r="DJ233" s="9"/>
      <c r="DK233" s="9"/>
      <c r="DL233" s="9"/>
      <c r="DM233" s="9"/>
      <c r="DN233" s="9"/>
      <c r="DO233" s="9"/>
      <c r="DP233" s="9"/>
      <c r="DQ233" s="9"/>
      <c r="DR233" s="9"/>
      <c r="DS233" s="9"/>
      <c r="DT233" s="9"/>
      <c r="DU233" s="9"/>
      <c r="DV233" s="9"/>
      <c r="DW233" s="9"/>
      <c r="DX233" s="9"/>
      <c r="DY233" s="9"/>
      <c r="DZ233" s="9"/>
      <c r="EA233" s="9"/>
      <c r="EB233" s="9"/>
      <c r="EC233" s="9"/>
      <c r="ED233" s="9"/>
      <c r="EE233" s="9"/>
      <c r="EF233" s="9"/>
      <c r="EG233" s="9"/>
      <c r="EH233" s="9"/>
      <c r="EI233" s="9"/>
      <c r="EJ233" s="9"/>
      <c r="EK233" s="9"/>
      <c r="EL233" s="9"/>
      <c r="EM233" s="9"/>
      <c r="EN233" s="9"/>
      <c r="EO233" s="9"/>
      <c r="EP233" s="9"/>
      <c r="EQ233" s="9"/>
      <c r="ER233" s="9"/>
      <c r="ES233" s="9"/>
      <c r="ET233" s="9"/>
      <c r="EU233" s="9"/>
      <c r="EV233" s="9"/>
      <c r="EW233" s="9"/>
      <c r="EX233" s="9"/>
      <c r="EY233" s="9"/>
      <c r="EZ233" s="9"/>
      <c r="FA233" s="9"/>
      <c r="FB233" s="9"/>
      <c r="FC233" s="9"/>
      <c r="FD233" s="9"/>
      <c r="FE233" s="9"/>
      <c r="FF233" s="9"/>
      <c r="FG233" s="9"/>
      <c r="FH233" s="9"/>
      <c r="FI233" s="9"/>
    </row>
    <row r="234" spans="1:165" x14ac:dyDescent="0.2">
      <c r="A234" s="1" t="s">
        <v>1364</v>
      </c>
      <c r="B234" s="1" t="s">
        <v>1365</v>
      </c>
      <c r="C234" s="1" t="s">
        <v>394</v>
      </c>
      <c r="D234" s="1" t="str">
        <f>HYPERLINK("http://eros.fiehnlab.ucdavis.edu:8080/binbase-compound/bin/show/200942?db=rtx5","200942")</f>
        <v>200942</v>
      </c>
      <c r="E234" s="1" t="s">
        <v>1366</v>
      </c>
      <c r="F234" s="1" t="s">
        <v>184</v>
      </c>
      <c r="G234" s="1" t="s">
        <v>184</v>
      </c>
      <c r="H234" s="1"/>
      <c r="I234" s="8">
        <v>4412</v>
      </c>
      <c r="J234" s="8">
        <v>395</v>
      </c>
      <c r="K234" s="8">
        <v>594</v>
      </c>
      <c r="L234" s="8">
        <v>1038</v>
      </c>
      <c r="M234" s="8">
        <v>878</v>
      </c>
      <c r="N234" s="8">
        <v>1082</v>
      </c>
      <c r="O234" s="8">
        <v>290</v>
      </c>
      <c r="P234" s="8">
        <v>719</v>
      </c>
      <c r="Q234" s="8">
        <v>423</v>
      </c>
      <c r="R234" s="8">
        <v>474</v>
      </c>
      <c r="S234" s="8">
        <v>314</v>
      </c>
      <c r="T234" s="8">
        <v>346</v>
      </c>
      <c r="U234" s="8">
        <v>902</v>
      </c>
      <c r="V234" s="8">
        <v>2395</v>
      </c>
      <c r="W234" s="8">
        <v>369</v>
      </c>
      <c r="X234" s="8">
        <v>372</v>
      </c>
      <c r="Y234" s="8">
        <v>237</v>
      </c>
      <c r="Z234" s="8">
        <v>285</v>
      </c>
      <c r="AA234" s="8">
        <v>2093</v>
      </c>
      <c r="AB234" s="8">
        <v>404</v>
      </c>
      <c r="AC234" s="8">
        <v>697</v>
      </c>
      <c r="AD234" s="8">
        <v>675</v>
      </c>
      <c r="AE234" s="8">
        <v>310</v>
      </c>
      <c r="AF234" s="8">
        <v>278</v>
      </c>
      <c r="AG234" s="8">
        <v>3506</v>
      </c>
      <c r="AH234" s="8">
        <v>5239</v>
      </c>
      <c r="AI234" s="8">
        <v>330</v>
      </c>
      <c r="AJ234" s="8">
        <v>1363</v>
      </c>
      <c r="AK234" s="8">
        <v>351</v>
      </c>
      <c r="AL234" s="8">
        <v>377</v>
      </c>
      <c r="AM234" s="8">
        <v>4663</v>
      </c>
      <c r="AN234" s="8">
        <v>1022</v>
      </c>
      <c r="AO234" s="8">
        <v>410</v>
      </c>
      <c r="AP234" s="8">
        <v>588</v>
      </c>
      <c r="AQ234" s="8">
        <v>342</v>
      </c>
      <c r="AR234" s="8">
        <v>364</v>
      </c>
      <c r="AS234" s="8">
        <v>1558</v>
      </c>
      <c r="AT234" s="8">
        <v>413</v>
      </c>
      <c r="AU234" s="8">
        <v>437</v>
      </c>
      <c r="AV234" s="8">
        <v>524</v>
      </c>
      <c r="AW234" s="8">
        <v>336</v>
      </c>
      <c r="AX234" s="8">
        <v>418</v>
      </c>
      <c r="AY234" s="8">
        <v>664</v>
      </c>
      <c r="AZ234" s="8">
        <v>479</v>
      </c>
      <c r="BA234" s="8">
        <v>428</v>
      </c>
      <c r="BB234" s="8">
        <v>412</v>
      </c>
      <c r="BC234" s="8">
        <v>482</v>
      </c>
      <c r="BD234" s="8">
        <v>413</v>
      </c>
      <c r="BE234" s="8">
        <v>2893</v>
      </c>
      <c r="BF234" s="8">
        <v>3186</v>
      </c>
      <c r="BG234" s="8">
        <v>348</v>
      </c>
      <c r="BH234" s="8">
        <v>373</v>
      </c>
      <c r="BI234" s="8">
        <v>374</v>
      </c>
      <c r="BJ234" s="8">
        <v>391</v>
      </c>
      <c r="BK234" s="8">
        <v>3760</v>
      </c>
      <c r="BL234" s="8">
        <v>605</v>
      </c>
      <c r="BM234" s="8">
        <v>755</v>
      </c>
      <c r="BN234" s="8">
        <v>389</v>
      </c>
      <c r="BO234" s="8">
        <v>448</v>
      </c>
      <c r="BP234" s="8">
        <v>490</v>
      </c>
      <c r="BQ234" s="8">
        <v>1260</v>
      </c>
      <c r="BR234" s="8">
        <v>4819</v>
      </c>
      <c r="BS234" s="8">
        <v>6856</v>
      </c>
      <c r="BT234" s="8">
        <v>318</v>
      </c>
      <c r="BU234" s="8">
        <v>440</v>
      </c>
      <c r="BV234" s="8">
        <v>376</v>
      </c>
      <c r="BW234" s="8">
        <v>5872</v>
      </c>
      <c r="BX234" s="8">
        <v>1326</v>
      </c>
      <c r="BY234" s="8">
        <v>3370</v>
      </c>
      <c r="BZ234" s="8">
        <v>342</v>
      </c>
      <c r="CA234" s="8">
        <v>390</v>
      </c>
      <c r="CB234" s="8">
        <v>282</v>
      </c>
      <c r="CC234" s="8">
        <v>1457</v>
      </c>
      <c r="CD234" s="8">
        <v>4302</v>
      </c>
      <c r="CE234" s="8">
        <v>5497</v>
      </c>
      <c r="CF234" s="8">
        <v>1150</v>
      </c>
      <c r="CG234" s="8">
        <v>520</v>
      </c>
      <c r="CH234" s="8">
        <v>354</v>
      </c>
      <c r="CJ234" s="9"/>
      <c r="CK234" s="9"/>
      <c r="CL234" s="9"/>
      <c r="CM234" s="9"/>
      <c r="CN234" s="9"/>
      <c r="CO234" s="9"/>
      <c r="CP234" s="9"/>
      <c r="CQ234" s="9"/>
      <c r="CR234" s="9"/>
      <c r="CS234" s="9"/>
      <c r="CT234" s="9"/>
      <c r="CU234" s="9"/>
      <c r="CV234" s="9"/>
      <c r="CW234" s="9"/>
      <c r="CX234" s="9"/>
      <c r="CY234" s="9"/>
      <c r="CZ234" s="9"/>
      <c r="DA234" s="9"/>
      <c r="DB234" s="9"/>
      <c r="DC234" s="9"/>
      <c r="DD234" s="9"/>
      <c r="DE234" s="9"/>
      <c r="DF234" s="9"/>
      <c r="DG234" s="9"/>
      <c r="DH234" s="9"/>
      <c r="DI234" s="9"/>
      <c r="DJ234" s="9"/>
      <c r="DK234" s="9"/>
      <c r="DL234" s="9"/>
      <c r="DM234" s="9"/>
      <c r="DN234" s="9"/>
      <c r="DO234" s="9"/>
      <c r="DP234" s="9"/>
      <c r="DQ234" s="9"/>
      <c r="DR234" s="9"/>
      <c r="DS234" s="9"/>
      <c r="DT234" s="9"/>
      <c r="DU234" s="9"/>
      <c r="DV234" s="9"/>
      <c r="DW234" s="9"/>
      <c r="DX234" s="9"/>
      <c r="DY234" s="9"/>
      <c r="DZ234" s="9"/>
      <c r="EA234" s="9"/>
      <c r="EB234" s="9"/>
      <c r="EC234" s="9"/>
      <c r="ED234" s="9"/>
      <c r="EE234" s="9"/>
      <c r="EF234" s="9"/>
      <c r="EG234" s="9"/>
      <c r="EH234" s="9"/>
      <c r="EI234" s="9"/>
      <c r="EJ234" s="9"/>
      <c r="EK234" s="9"/>
      <c r="EL234" s="9"/>
      <c r="EM234" s="9"/>
      <c r="EN234" s="9"/>
      <c r="EO234" s="9"/>
      <c r="EP234" s="9"/>
      <c r="EQ234" s="9"/>
      <c r="ER234" s="9"/>
      <c r="ES234" s="9"/>
      <c r="ET234" s="9"/>
      <c r="EU234" s="9"/>
      <c r="EV234" s="9"/>
      <c r="EW234" s="9"/>
      <c r="EX234" s="9"/>
      <c r="EY234" s="9"/>
      <c r="EZ234" s="9"/>
      <c r="FA234" s="9"/>
      <c r="FB234" s="9"/>
      <c r="FC234" s="9"/>
      <c r="FD234" s="9"/>
      <c r="FE234" s="9"/>
      <c r="FF234" s="9"/>
      <c r="FG234" s="9"/>
      <c r="FH234" s="9"/>
      <c r="FI234" s="9"/>
    </row>
    <row r="235" spans="1:165" x14ac:dyDescent="0.2">
      <c r="A235" s="1" t="s">
        <v>930</v>
      </c>
      <c r="B235" s="1" t="s">
        <v>931</v>
      </c>
      <c r="C235" s="1" t="s">
        <v>928</v>
      </c>
      <c r="D235" s="1" t="str">
        <f>HYPERLINK("http://eros.fiehnlab.ucdavis.edu:8080/binbase-compound/bin/show/295226?db=rtx5","295226")</f>
        <v>295226</v>
      </c>
      <c r="E235" s="1" t="s">
        <v>932</v>
      </c>
      <c r="F235" s="1" t="s">
        <v>184</v>
      </c>
      <c r="G235" s="1" t="s">
        <v>184</v>
      </c>
      <c r="H235" s="1"/>
      <c r="I235" s="8">
        <v>3283</v>
      </c>
      <c r="J235" s="8">
        <v>380</v>
      </c>
      <c r="K235" s="8">
        <v>1025</v>
      </c>
      <c r="L235" s="8">
        <v>1129</v>
      </c>
      <c r="M235" s="8">
        <v>1324</v>
      </c>
      <c r="N235" s="8">
        <v>1617</v>
      </c>
      <c r="O235" s="8">
        <v>1626</v>
      </c>
      <c r="P235" s="8">
        <v>1751</v>
      </c>
      <c r="Q235" s="8">
        <v>1393</v>
      </c>
      <c r="R235" s="8">
        <v>1423</v>
      </c>
      <c r="S235" s="8">
        <v>986</v>
      </c>
      <c r="T235" s="8">
        <v>1204</v>
      </c>
      <c r="U235" s="8">
        <v>3054</v>
      </c>
      <c r="V235" s="8">
        <v>1154</v>
      </c>
      <c r="W235" s="8">
        <v>2136</v>
      </c>
      <c r="X235" s="8">
        <v>857</v>
      </c>
      <c r="Y235" s="8">
        <v>494</v>
      </c>
      <c r="Z235" s="8">
        <v>680</v>
      </c>
      <c r="AA235" s="8">
        <v>456</v>
      </c>
      <c r="AB235" s="8">
        <v>2598</v>
      </c>
      <c r="AC235" s="8">
        <v>1540</v>
      </c>
      <c r="AD235" s="8">
        <v>1258</v>
      </c>
      <c r="AE235" s="8">
        <v>999</v>
      </c>
      <c r="AF235" s="8">
        <v>1429</v>
      </c>
      <c r="AG235" s="8">
        <v>2152</v>
      </c>
      <c r="AH235" s="8">
        <v>912</v>
      </c>
      <c r="AI235" s="8">
        <v>997</v>
      </c>
      <c r="AJ235" s="8">
        <v>1455</v>
      </c>
      <c r="AK235" s="8">
        <v>733</v>
      </c>
      <c r="AL235" s="8">
        <v>755</v>
      </c>
      <c r="AM235" s="8">
        <v>1285</v>
      </c>
      <c r="AN235" s="8">
        <v>1788</v>
      </c>
      <c r="AO235" s="8">
        <v>2135</v>
      </c>
      <c r="AP235" s="8">
        <v>97</v>
      </c>
      <c r="AQ235" s="8">
        <v>1619</v>
      </c>
      <c r="AR235" s="8">
        <v>1274</v>
      </c>
      <c r="AS235" s="8">
        <v>722</v>
      </c>
      <c r="AT235" s="8">
        <v>1496</v>
      </c>
      <c r="AU235" s="8">
        <v>359</v>
      </c>
      <c r="AV235" s="8">
        <v>2578</v>
      </c>
      <c r="AW235" s="8">
        <v>255</v>
      </c>
      <c r="AX235" s="8">
        <v>752</v>
      </c>
      <c r="AY235" s="8">
        <v>1565</v>
      </c>
      <c r="AZ235" s="8">
        <v>2282</v>
      </c>
      <c r="BA235" s="8">
        <v>1944</v>
      </c>
      <c r="BB235" s="8">
        <v>1998</v>
      </c>
      <c r="BC235" s="8">
        <v>237</v>
      </c>
      <c r="BD235" s="8">
        <v>1465</v>
      </c>
      <c r="BE235" s="8">
        <v>2241</v>
      </c>
      <c r="BF235" s="8">
        <v>1700</v>
      </c>
      <c r="BG235" s="8">
        <v>2172</v>
      </c>
      <c r="BH235" s="8">
        <v>2098</v>
      </c>
      <c r="BI235" s="8">
        <v>620</v>
      </c>
      <c r="BJ235" s="8">
        <v>1006</v>
      </c>
      <c r="BK235" s="8">
        <v>3216</v>
      </c>
      <c r="BL235" s="8">
        <v>3107</v>
      </c>
      <c r="BM235" s="8">
        <v>2306</v>
      </c>
      <c r="BN235" s="8">
        <v>350</v>
      </c>
      <c r="BO235" s="8">
        <v>2698</v>
      </c>
      <c r="BP235" s="8">
        <v>349</v>
      </c>
      <c r="BQ235" s="8">
        <v>32395</v>
      </c>
      <c r="BR235" s="8">
        <v>853</v>
      </c>
      <c r="BS235" s="8">
        <v>474</v>
      </c>
      <c r="BT235" s="8">
        <v>1216</v>
      </c>
      <c r="BU235" s="8">
        <v>1338</v>
      </c>
      <c r="BV235" s="8">
        <v>948</v>
      </c>
      <c r="BW235" s="8">
        <v>2268</v>
      </c>
      <c r="BX235" s="8">
        <v>1150</v>
      </c>
      <c r="BY235" s="8">
        <v>454</v>
      </c>
      <c r="BZ235" s="8">
        <v>3090</v>
      </c>
      <c r="CA235" s="8">
        <v>1341</v>
      </c>
      <c r="CB235" s="8">
        <v>951</v>
      </c>
      <c r="CC235" s="8">
        <v>2093</v>
      </c>
      <c r="CD235" s="8">
        <v>1033</v>
      </c>
      <c r="CE235" s="8">
        <v>1800</v>
      </c>
      <c r="CF235" s="8">
        <v>274</v>
      </c>
      <c r="CG235" s="8">
        <v>2379</v>
      </c>
      <c r="CH235" s="8">
        <v>921</v>
      </c>
      <c r="CJ235" s="9"/>
      <c r="CK235" s="9"/>
      <c r="CL235" s="9"/>
      <c r="CM235" s="9"/>
      <c r="CN235" s="9"/>
      <c r="CO235" s="9"/>
      <c r="CP235" s="9"/>
      <c r="CQ235" s="9"/>
      <c r="CR235" s="9"/>
      <c r="CS235" s="9"/>
      <c r="CT235" s="9"/>
      <c r="CU235" s="9"/>
      <c r="CV235" s="9"/>
      <c r="CW235" s="9"/>
      <c r="CX235" s="9"/>
      <c r="CY235" s="9"/>
      <c r="CZ235" s="9"/>
      <c r="DA235" s="9"/>
      <c r="DB235" s="9"/>
      <c r="DC235" s="9"/>
      <c r="DD235" s="9"/>
      <c r="DE235" s="9"/>
      <c r="DF235" s="9"/>
      <c r="DG235" s="9"/>
      <c r="DH235" s="9"/>
      <c r="DI235" s="9"/>
      <c r="DJ235" s="9"/>
      <c r="DK235" s="9"/>
      <c r="DL235" s="9"/>
      <c r="DM235" s="9"/>
      <c r="DN235" s="9"/>
      <c r="DO235" s="9"/>
      <c r="DP235" s="9"/>
      <c r="DQ235" s="9"/>
      <c r="DR235" s="9"/>
      <c r="DS235" s="9"/>
      <c r="DT235" s="9"/>
      <c r="DU235" s="9"/>
      <c r="DV235" s="9"/>
      <c r="DW235" s="9"/>
      <c r="DX235" s="9"/>
      <c r="DY235" s="9"/>
      <c r="DZ235" s="9"/>
      <c r="EA235" s="9"/>
      <c r="EB235" s="9"/>
      <c r="EC235" s="9"/>
      <c r="ED235" s="9"/>
      <c r="EE235" s="9"/>
      <c r="EF235" s="9"/>
      <c r="EG235" s="9"/>
      <c r="EH235" s="9"/>
      <c r="EI235" s="9"/>
      <c r="EJ235" s="9"/>
      <c r="EK235" s="9"/>
      <c r="EL235" s="9"/>
      <c r="EM235" s="9"/>
      <c r="EN235" s="9"/>
      <c r="EO235" s="9"/>
      <c r="EP235" s="9"/>
      <c r="EQ235" s="9"/>
      <c r="ER235" s="9"/>
      <c r="ES235" s="9"/>
      <c r="ET235" s="9"/>
      <c r="EU235" s="9"/>
      <c r="EV235" s="9"/>
      <c r="EW235" s="9"/>
      <c r="EX235" s="9"/>
      <c r="EY235" s="9"/>
      <c r="EZ235" s="9"/>
      <c r="FA235" s="9"/>
      <c r="FB235" s="9"/>
      <c r="FC235" s="9"/>
      <c r="FD235" s="9"/>
      <c r="FE235" s="9"/>
      <c r="FF235" s="9"/>
      <c r="FG235" s="9"/>
      <c r="FH235" s="9"/>
      <c r="FI235" s="9"/>
    </row>
    <row r="236" spans="1:165" x14ac:dyDescent="0.2">
      <c r="A236" s="1" t="s">
        <v>1020</v>
      </c>
      <c r="B236" s="1" t="s">
        <v>1021</v>
      </c>
      <c r="C236" s="1" t="s">
        <v>362</v>
      </c>
      <c r="D236" s="1" t="str">
        <f>HYPERLINK("http://eros.fiehnlab.ucdavis.edu:8080/binbase-compound/bin/show/269146?db=rtx5","269146")</f>
        <v>269146</v>
      </c>
      <c r="E236" s="1" t="s">
        <v>1022</v>
      </c>
      <c r="F236" s="1" t="s">
        <v>184</v>
      </c>
      <c r="G236" s="1" t="s">
        <v>184</v>
      </c>
      <c r="H236" s="1"/>
      <c r="I236" s="8">
        <v>1583</v>
      </c>
      <c r="J236" s="8">
        <v>252</v>
      </c>
      <c r="K236" s="8">
        <v>687</v>
      </c>
      <c r="L236" s="8">
        <v>268</v>
      </c>
      <c r="M236" s="8">
        <v>1101</v>
      </c>
      <c r="N236" s="8">
        <v>286</v>
      </c>
      <c r="O236" s="8">
        <v>1058</v>
      </c>
      <c r="P236" s="8">
        <v>1335</v>
      </c>
      <c r="Q236" s="8">
        <v>296</v>
      </c>
      <c r="R236" s="8">
        <v>1044</v>
      </c>
      <c r="S236" s="8">
        <v>1479</v>
      </c>
      <c r="T236" s="8">
        <v>1012</v>
      </c>
      <c r="U236" s="8">
        <v>774</v>
      </c>
      <c r="V236" s="8">
        <v>943</v>
      </c>
      <c r="W236" s="8">
        <v>556</v>
      </c>
      <c r="X236" s="8">
        <v>1173</v>
      </c>
      <c r="Y236" s="8">
        <v>1053</v>
      </c>
      <c r="Z236" s="8">
        <v>1097</v>
      </c>
      <c r="AA236" s="8">
        <v>546</v>
      </c>
      <c r="AB236" s="8">
        <v>717</v>
      </c>
      <c r="AC236" s="8">
        <v>222</v>
      </c>
      <c r="AD236" s="8">
        <v>925</v>
      </c>
      <c r="AE236" s="8">
        <v>993</v>
      </c>
      <c r="AF236" s="8">
        <v>1173</v>
      </c>
      <c r="AG236" s="8">
        <v>1198</v>
      </c>
      <c r="AH236" s="8">
        <v>1128</v>
      </c>
      <c r="AI236" s="8">
        <v>513</v>
      </c>
      <c r="AJ236" s="8">
        <v>1375</v>
      </c>
      <c r="AK236" s="8">
        <v>785</v>
      </c>
      <c r="AL236" s="8">
        <v>1055</v>
      </c>
      <c r="AM236" s="8">
        <v>213</v>
      </c>
      <c r="AN236" s="8">
        <v>230</v>
      </c>
      <c r="AO236" s="8">
        <v>353</v>
      </c>
      <c r="AP236" s="8">
        <v>1927</v>
      </c>
      <c r="AQ236" s="8">
        <v>1210</v>
      </c>
      <c r="AR236" s="8">
        <v>1195</v>
      </c>
      <c r="AS236" s="8">
        <v>885</v>
      </c>
      <c r="AT236" s="8">
        <v>915</v>
      </c>
      <c r="AU236" s="8">
        <v>1404</v>
      </c>
      <c r="AV236" s="8">
        <v>1411</v>
      </c>
      <c r="AW236" s="8">
        <v>838</v>
      </c>
      <c r="AX236" s="8">
        <v>1465</v>
      </c>
      <c r="AY236" s="8">
        <v>766</v>
      </c>
      <c r="AZ236" s="8">
        <v>1207</v>
      </c>
      <c r="BA236" s="8">
        <v>1680</v>
      </c>
      <c r="BB236" s="8">
        <v>524</v>
      </c>
      <c r="BC236" s="8">
        <v>106</v>
      </c>
      <c r="BD236" s="8">
        <v>1220</v>
      </c>
      <c r="BE236" s="8">
        <v>1326</v>
      </c>
      <c r="BF236" s="8">
        <v>1019</v>
      </c>
      <c r="BG236" s="8">
        <v>1460</v>
      </c>
      <c r="BH236" s="8">
        <v>1235</v>
      </c>
      <c r="BI236" s="8">
        <v>1358</v>
      </c>
      <c r="BJ236" s="8">
        <v>487</v>
      </c>
      <c r="BK236" s="8">
        <v>2138</v>
      </c>
      <c r="BL236" s="8">
        <v>1344</v>
      </c>
      <c r="BM236" s="8">
        <v>249</v>
      </c>
      <c r="BN236" s="8">
        <v>67</v>
      </c>
      <c r="BO236" s="8">
        <v>1358</v>
      </c>
      <c r="BP236" s="8">
        <v>420</v>
      </c>
      <c r="BQ236" s="8">
        <v>503</v>
      </c>
      <c r="BR236" s="8">
        <v>655</v>
      </c>
      <c r="BS236" s="8">
        <v>876</v>
      </c>
      <c r="BT236" s="8">
        <v>1176</v>
      </c>
      <c r="BU236" s="8">
        <v>247</v>
      </c>
      <c r="BV236" s="8">
        <v>386</v>
      </c>
      <c r="BW236" s="8">
        <v>1098</v>
      </c>
      <c r="BX236" s="8">
        <v>1011</v>
      </c>
      <c r="BY236" s="8">
        <v>812</v>
      </c>
      <c r="BZ236" s="8">
        <v>213</v>
      </c>
      <c r="CA236" s="8">
        <v>1171</v>
      </c>
      <c r="CB236" s="8">
        <v>936</v>
      </c>
      <c r="CC236" s="8">
        <v>898</v>
      </c>
      <c r="CD236" s="8">
        <v>534</v>
      </c>
      <c r="CE236" s="8">
        <v>1302</v>
      </c>
      <c r="CF236" s="8">
        <v>668</v>
      </c>
      <c r="CG236" s="8">
        <v>1426</v>
      </c>
      <c r="CH236" s="8">
        <v>1084</v>
      </c>
      <c r="CJ236" s="9"/>
      <c r="CK236" s="9"/>
      <c r="CL236" s="9"/>
      <c r="CM236" s="9"/>
      <c r="CN236" s="9"/>
      <c r="CO236" s="9"/>
      <c r="CP236" s="9"/>
      <c r="CQ236" s="9"/>
      <c r="CR236" s="9"/>
      <c r="CS236" s="9"/>
      <c r="CT236" s="9"/>
      <c r="CU236" s="9"/>
      <c r="CV236" s="9"/>
      <c r="CW236" s="9"/>
      <c r="CX236" s="9"/>
      <c r="CY236" s="9"/>
      <c r="CZ236" s="9"/>
      <c r="DA236" s="9"/>
      <c r="DB236" s="9"/>
      <c r="DC236" s="9"/>
      <c r="DD236" s="9"/>
      <c r="DE236" s="9"/>
      <c r="DF236" s="9"/>
      <c r="DG236" s="9"/>
      <c r="DH236" s="9"/>
      <c r="DI236" s="9"/>
      <c r="DJ236" s="9"/>
      <c r="DK236" s="9"/>
      <c r="DL236" s="9"/>
      <c r="DM236" s="9"/>
      <c r="DN236" s="9"/>
      <c r="DO236" s="9"/>
      <c r="DP236" s="9"/>
      <c r="DQ236" s="9"/>
      <c r="DR236" s="9"/>
      <c r="DS236" s="9"/>
      <c r="DT236" s="9"/>
      <c r="DU236" s="9"/>
      <c r="DV236" s="9"/>
      <c r="DW236" s="9"/>
      <c r="DX236" s="9"/>
      <c r="DY236" s="9"/>
      <c r="DZ236" s="9"/>
      <c r="EA236" s="9"/>
      <c r="EB236" s="9"/>
      <c r="EC236" s="9"/>
      <c r="ED236" s="9"/>
      <c r="EE236" s="9"/>
      <c r="EF236" s="9"/>
      <c r="EG236" s="9"/>
      <c r="EH236" s="9"/>
      <c r="EI236" s="9"/>
      <c r="EJ236" s="9"/>
      <c r="EK236" s="9"/>
      <c r="EL236" s="9"/>
      <c r="EM236" s="9"/>
      <c r="EN236" s="9"/>
      <c r="EO236" s="9"/>
      <c r="EP236" s="9"/>
      <c r="EQ236" s="9"/>
      <c r="ER236" s="9"/>
      <c r="ES236" s="9"/>
      <c r="ET236" s="9"/>
      <c r="EU236" s="9"/>
      <c r="EV236" s="9"/>
      <c r="EW236" s="9"/>
      <c r="EX236" s="9"/>
      <c r="EY236" s="9"/>
      <c r="EZ236" s="9"/>
      <c r="FA236" s="9"/>
      <c r="FB236" s="9"/>
      <c r="FC236" s="9"/>
      <c r="FD236" s="9"/>
      <c r="FE236" s="9"/>
      <c r="FF236" s="9"/>
      <c r="FG236" s="9"/>
      <c r="FH236" s="9"/>
      <c r="FI236" s="9"/>
    </row>
    <row r="237" spans="1:165" x14ac:dyDescent="0.2">
      <c r="A237" s="1" t="s">
        <v>783</v>
      </c>
      <c r="B237" s="1" t="s">
        <v>784</v>
      </c>
      <c r="C237" s="1" t="s">
        <v>286</v>
      </c>
      <c r="D237" s="1" t="str">
        <f>HYPERLINK("http://eros.fiehnlab.ucdavis.edu:8080/binbase-compound/bin/show/362058?db=rtx5","362058")</f>
        <v>362058</v>
      </c>
      <c r="E237" s="1" t="s">
        <v>785</v>
      </c>
      <c r="F237" s="1" t="s">
        <v>184</v>
      </c>
      <c r="G237" s="1" t="s">
        <v>184</v>
      </c>
      <c r="H237" s="1"/>
      <c r="I237" s="8">
        <v>6094</v>
      </c>
      <c r="J237" s="8">
        <v>4264</v>
      </c>
      <c r="K237" s="8">
        <v>9831</v>
      </c>
      <c r="L237" s="8">
        <v>9628</v>
      </c>
      <c r="M237" s="8">
        <v>9556</v>
      </c>
      <c r="N237" s="8">
        <v>7294</v>
      </c>
      <c r="O237" s="8">
        <v>14687</v>
      </c>
      <c r="P237" s="8">
        <v>13615</v>
      </c>
      <c r="Q237" s="8">
        <v>16022</v>
      </c>
      <c r="R237" s="8">
        <v>17200</v>
      </c>
      <c r="S237" s="8">
        <v>15914</v>
      </c>
      <c r="T237" s="8">
        <v>10431</v>
      </c>
      <c r="U237" s="8">
        <v>14801</v>
      </c>
      <c r="V237" s="8">
        <v>13743</v>
      </c>
      <c r="W237" s="8">
        <v>13039</v>
      </c>
      <c r="X237" s="8">
        <v>16899</v>
      </c>
      <c r="Y237" s="8">
        <v>11765</v>
      </c>
      <c r="Z237" s="8">
        <v>13741</v>
      </c>
      <c r="AA237" s="8">
        <v>14149</v>
      </c>
      <c r="AB237" s="8">
        <v>13074</v>
      </c>
      <c r="AC237" s="8">
        <v>14906</v>
      </c>
      <c r="AD237" s="8">
        <v>12832</v>
      </c>
      <c r="AE237" s="8">
        <v>14173</v>
      </c>
      <c r="AF237" s="8">
        <v>13512</v>
      </c>
      <c r="AG237" s="8">
        <v>13314</v>
      </c>
      <c r="AH237" s="8">
        <v>11603</v>
      </c>
      <c r="AI237" s="8">
        <v>16258</v>
      </c>
      <c r="AJ237" s="8">
        <v>17620</v>
      </c>
      <c r="AK237" s="8">
        <v>14398</v>
      </c>
      <c r="AL237" s="8">
        <v>15941</v>
      </c>
      <c r="AM237" s="8">
        <v>13265</v>
      </c>
      <c r="AN237" s="8">
        <v>17682</v>
      </c>
      <c r="AO237" s="8">
        <v>14708</v>
      </c>
      <c r="AP237" s="8">
        <v>14633</v>
      </c>
      <c r="AQ237" s="8">
        <v>17952</v>
      </c>
      <c r="AR237" s="8">
        <v>14372</v>
      </c>
      <c r="AS237" s="8">
        <v>18825</v>
      </c>
      <c r="AT237" s="8">
        <v>18019</v>
      </c>
      <c r="AU237" s="8">
        <v>15628</v>
      </c>
      <c r="AV237" s="8">
        <v>14014</v>
      </c>
      <c r="AW237" s="8">
        <v>22205</v>
      </c>
      <c r="AX237" s="8">
        <v>12606</v>
      </c>
      <c r="AY237" s="8">
        <v>15263</v>
      </c>
      <c r="AZ237" s="8">
        <v>18527</v>
      </c>
      <c r="BA237" s="8">
        <v>16747</v>
      </c>
      <c r="BB237" s="8">
        <v>15127</v>
      </c>
      <c r="BC237" s="8">
        <v>14807</v>
      </c>
      <c r="BD237" s="8">
        <v>15170</v>
      </c>
      <c r="BE237" s="8">
        <v>15458</v>
      </c>
      <c r="BF237" s="8">
        <v>13217</v>
      </c>
      <c r="BG237" s="8">
        <v>13913</v>
      </c>
      <c r="BH237" s="8">
        <v>12770</v>
      </c>
      <c r="BI237" s="8">
        <v>14355</v>
      </c>
      <c r="BJ237" s="8">
        <v>16744</v>
      </c>
      <c r="BK237" s="8">
        <v>13604</v>
      </c>
      <c r="BL237" s="8">
        <v>14792</v>
      </c>
      <c r="BM237" s="8">
        <v>14537</v>
      </c>
      <c r="BN237" s="8">
        <v>18145</v>
      </c>
      <c r="BO237" s="8">
        <v>19597</v>
      </c>
      <c r="BP237" s="8">
        <v>18690</v>
      </c>
      <c r="BQ237" s="8">
        <v>19438</v>
      </c>
      <c r="BR237" s="8">
        <v>14591</v>
      </c>
      <c r="BS237" s="8">
        <v>14071</v>
      </c>
      <c r="BT237" s="8">
        <v>16173</v>
      </c>
      <c r="BU237" s="8">
        <v>16365</v>
      </c>
      <c r="BV237" s="8">
        <v>17543</v>
      </c>
      <c r="BW237" s="8">
        <v>14982</v>
      </c>
      <c r="BX237" s="8">
        <v>14750</v>
      </c>
      <c r="BY237" s="8">
        <v>13223</v>
      </c>
      <c r="BZ237" s="8">
        <v>14430</v>
      </c>
      <c r="CA237" s="8">
        <v>15408</v>
      </c>
      <c r="CB237" s="8">
        <v>14851</v>
      </c>
      <c r="CC237" s="8">
        <v>14389</v>
      </c>
      <c r="CD237" s="8">
        <v>16758</v>
      </c>
      <c r="CE237" s="8">
        <v>12511</v>
      </c>
      <c r="CF237" s="8">
        <v>13349</v>
      </c>
      <c r="CG237" s="8">
        <v>13131</v>
      </c>
      <c r="CH237" s="8">
        <v>16448</v>
      </c>
      <c r="CJ237" s="9"/>
      <c r="CK237" s="9"/>
      <c r="CL237" s="9"/>
      <c r="CM237" s="9"/>
      <c r="CN237" s="9"/>
      <c r="CO237" s="9"/>
      <c r="CP237" s="9"/>
      <c r="CQ237" s="9"/>
      <c r="CR237" s="9"/>
      <c r="CS237" s="9"/>
      <c r="CT237" s="9"/>
      <c r="CU237" s="9"/>
      <c r="CV237" s="9"/>
      <c r="CW237" s="9"/>
      <c r="CX237" s="9"/>
      <c r="CY237" s="9"/>
      <c r="CZ237" s="9"/>
      <c r="DA237" s="9"/>
      <c r="DB237" s="9"/>
      <c r="DC237" s="9"/>
      <c r="DD237" s="9"/>
      <c r="DE237" s="9"/>
      <c r="DF237" s="9"/>
      <c r="DG237" s="9"/>
      <c r="DH237" s="9"/>
      <c r="DI237" s="9"/>
      <c r="DJ237" s="9"/>
      <c r="DK237" s="9"/>
      <c r="DL237" s="9"/>
      <c r="DM237" s="9"/>
      <c r="DN237" s="9"/>
      <c r="DO237" s="9"/>
      <c r="DP237" s="9"/>
      <c r="DQ237" s="9"/>
      <c r="DR237" s="9"/>
      <c r="DS237" s="9"/>
      <c r="DT237" s="9"/>
      <c r="DU237" s="9"/>
      <c r="DV237" s="9"/>
      <c r="DW237" s="9"/>
      <c r="DX237" s="9"/>
      <c r="DY237" s="9"/>
      <c r="DZ237" s="9"/>
      <c r="EA237" s="9"/>
      <c r="EB237" s="9"/>
      <c r="EC237" s="9"/>
      <c r="ED237" s="9"/>
      <c r="EE237" s="9"/>
      <c r="EF237" s="9"/>
      <c r="EG237" s="9"/>
      <c r="EH237" s="9"/>
      <c r="EI237" s="9"/>
      <c r="EJ237" s="9"/>
      <c r="EK237" s="9"/>
      <c r="EL237" s="9"/>
      <c r="EM237" s="9"/>
      <c r="EN237" s="9"/>
      <c r="EO237" s="9"/>
      <c r="EP237" s="9"/>
      <c r="EQ237" s="9"/>
      <c r="ER237" s="9"/>
      <c r="ES237" s="9"/>
      <c r="ET237" s="9"/>
      <c r="EU237" s="9"/>
      <c r="EV237" s="9"/>
      <c r="EW237" s="9"/>
      <c r="EX237" s="9"/>
      <c r="EY237" s="9"/>
      <c r="EZ237" s="9"/>
      <c r="FA237" s="9"/>
      <c r="FB237" s="9"/>
      <c r="FC237" s="9"/>
      <c r="FD237" s="9"/>
      <c r="FE237" s="9"/>
      <c r="FF237" s="9"/>
      <c r="FG237" s="9"/>
      <c r="FH237" s="9"/>
      <c r="FI237" s="9"/>
    </row>
    <row r="238" spans="1:165" x14ac:dyDescent="0.2">
      <c r="A238" s="1" t="s">
        <v>714</v>
      </c>
      <c r="B238" s="1" t="s">
        <v>715</v>
      </c>
      <c r="C238" s="1" t="s">
        <v>273</v>
      </c>
      <c r="D238" s="1" t="str">
        <f>HYPERLINK("http://eros.fiehnlab.ucdavis.edu:8080/binbase-compound/bin/show/372272?db=rtx5","372272")</f>
        <v>372272</v>
      </c>
      <c r="E238" s="1" t="s">
        <v>716</v>
      </c>
      <c r="F238" s="1" t="s">
        <v>184</v>
      </c>
      <c r="G238" s="1" t="s">
        <v>184</v>
      </c>
      <c r="H238" s="1"/>
      <c r="I238" s="8">
        <v>131</v>
      </c>
      <c r="J238" s="8">
        <v>139</v>
      </c>
      <c r="K238" s="8">
        <v>153</v>
      </c>
      <c r="L238" s="8">
        <v>156</v>
      </c>
      <c r="M238" s="8">
        <v>116</v>
      </c>
      <c r="N238" s="8">
        <v>120</v>
      </c>
      <c r="O238" s="8">
        <v>576</v>
      </c>
      <c r="P238" s="8">
        <v>280</v>
      </c>
      <c r="Q238" s="8">
        <v>517</v>
      </c>
      <c r="R238" s="8">
        <v>504</v>
      </c>
      <c r="S238" s="8">
        <v>446</v>
      </c>
      <c r="T238" s="8">
        <v>383</v>
      </c>
      <c r="U238" s="8">
        <v>223</v>
      </c>
      <c r="V238" s="8">
        <v>174</v>
      </c>
      <c r="W238" s="8">
        <v>521</v>
      </c>
      <c r="X238" s="8">
        <v>519</v>
      </c>
      <c r="Y238" s="8">
        <v>258</v>
      </c>
      <c r="Z238" s="8">
        <v>694</v>
      </c>
      <c r="AA238" s="8">
        <v>85</v>
      </c>
      <c r="AB238" s="8">
        <v>207</v>
      </c>
      <c r="AC238" s="8">
        <v>146</v>
      </c>
      <c r="AD238" s="8">
        <v>159</v>
      </c>
      <c r="AE238" s="8">
        <v>157</v>
      </c>
      <c r="AF238" s="8">
        <v>100</v>
      </c>
      <c r="AG238" s="8">
        <v>246</v>
      </c>
      <c r="AH238" s="8">
        <v>121</v>
      </c>
      <c r="AI238" s="8">
        <v>540</v>
      </c>
      <c r="AJ238" s="8">
        <v>751</v>
      </c>
      <c r="AK238" s="8">
        <v>449</v>
      </c>
      <c r="AL238" s="8">
        <v>845</v>
      </c>
      <c r="AM238" s="8">
        <v>141</v>
      </c>
      <c r="AN238" s="8">
        <v>151</v>
      </c>
      <c r="AO238" s="8">
        <v>210</v>
      </c>
      <c r="AP238" s="8">
        <v>218</v>
      </c>
      <c r="AQ238" s="8">
        <v>124</v>
      </c>
      <c r="AR238" s="8">
        <v>137</v>
      </c>
      <c r="AS238" s="8">
        <v>182</v>
      </c>
      <c r="AT238" s="8">
        <v>229</v>
      </c>
      <c r="AU238" s="8">
        <v>319</v>
      </c>
      <c r="AV238" s="8">
        <v>213</v>
      </c>
      <c r="AW238" s="8">
        <v>583</v>
      </c>
      <c r="AX238" s="8">
        <v>294</v>
      </c>
      <c r="AY238" s="8">
        <v>128</v>
      </c>
      <c r="AZ238" s="8">
        <v>96</v>
      </c>
      <c r="BA238" s="8">
        <v>101</v>
      </c>
      <c r="BB238" s="8">
        <v>98</v>
      </c>
      <c r="BC238" s="8">
        <v>117</v>
      </c>
      <c r="BD238" s="8">
        <v>95</v>
      </c>
      <c r="BE238" s="8">
        <v>249</v>
      </c>
      <c r="BF238" s="8">
        <v>117</v>
      </c>
      <c r="BG238" s="8">
        <v>456</v>
      </c>
      <c r="BH238" s="8">
        <v>222</v>
      </c>
      <c r="BI238" s="8">
        <v>486</v>
      </c>
      <c r="BJ238" s="8">
        <v>364</v>
      </c>
      <c r="BK238" s="8">
        <v>119</v>
      </c>
      <c r="BL238" s="8">
        <v>349</v>
      </c>
      <c r="BM238" s="8">
        <v>136</v>
      </c>
      <c r="BN238" s="8">
        <v>276</v>
      </c>
      <c r="BO238" s="8">
        <v>389</v>
      </c>
      <c r="BP238" s="8">
        <v>789</v>
      </c>
      <c r="BQ238" s="8">
        <v>333</v>
      </c>
      <c r="BR238" s="8">
        <v>138</v>
      </c>
      <c r="BS238" s="8">
        <v>165</v>
      </c>
      <c r="BT238" s="8">
        <v>205</v>
      </c>
      <c r="BU238" s="8">
        <v>154</v>
      </c>
      <c r="BV238" s="8">
        <v>378</v>
      </c>
      <c r="BW238" s="8">
        <v>99</v>
      </c>
      <c r="BX238" s="8">
        <v>109</v>
      </c>
      <c r="BY238" s="8">
        <v>87</v>
      </c>
      <c r="BZ238" s="8">
        <v>90</v>
      </c>
      <c r="CA238" s="8">
        <v>105</v>
      </c>
      <c r="CB238" s="8">
        <v>81</v>
      </c>
      <c r="CC238" s="8">
        <v>170</v>
      </c>
      <c r="CD238" s="8">
        <v>163</v>
      </c>
      <c r="CE238" s="8">
        <v>127</v>
      </c>
      <c r="CF238" s="8">
        <v>165</v>
      </c>
      <c r="CG238" s="8">
        <v>407</v>
      </c>
      <c r="CH238" s="8">
        <v>324</v>
      </c>
      <c r="CJ238" s="9"/>
      <c r="CK238" s="9"/>
      <c r="CL238" s="9"/>
      <c r="CM238" s="9"/>
      <c r="CN238" s="9"/>
      <c r="CO238" s="9"/>
      <c r="CP238" s="9"/>
      <c r="CQ238" s="9"/>
      <c r="CR238" s="9"/>
      <c r="CS238" s="9"/>
      <c r="CT238" s="9"/>
      <c r="CU238" s="9"/>
      <c r="CV238" s="9"/>
      <c r="CW238" s="9"/>
      <c r="CX238" s="9"/>
      <c r="CY238" s="9"/>
      <c r="CZ238" s="9"/>
      <c r="DA238" s="9"/>
      <c r="DB238" s="9"/>
      <c r="DC238" s="9"/>
      <c r="DD238" s="9"/>
      <c r="DE238" s="9"/>
      <c r="DF238" s="9"/>
      <c r="DG238" s="9"/>
      <c r="DH238" s="9"/>
      <c r="DI238" s="9"/>
      <c r="DJ238" s="9"/>
      <c r="DK238" s="9"/>
      <c r="DL238" s="9"/>
      <c r="DM238" s="9"/>
      <c r="DN238" s="9"/>
      <c r="DO238" s="9"/>
      <c r="DP238" s="9"/>
      <c r="DQ238" s="9"/>
      <c r="DR238" s="9"/>
      <c r="DS238" s="9"/>
      <c r="DT238" s="9"/>
      <c r="DU238" s="9"/>
      <c r="DV238" s="9"/>
      <c r="DW238" s="9"/>
      <c r="DX238" s="9"/>
      <c r="DY238" s="9"/>
      <c r="DZ238" s="9"/>
      <c r="EA238" s="9"/>
      <c r="EB238" s="9"/>
      <c r="EC238" s="9"/>
      <c r="ED238" s="9"/>
      <c r="EE238" s="9"/>
      <c r="EF238" s="9"/>
      <c r="EG238" s="9"/>
      <c r="EH238" s="9"/>
      <c r="EI238" s="9"/>
      <c r="EJ238" s="9"/>
      <c r="EK238" s="9"/>
      <c r="EL238" s="9"/>
      <c r="EM238" s="9"/>
      <c r="EN238" s="9"/>
      <c r="EO238" s="9"/>
      <c r="EP238" s="9"/>
      <c r="EQ238" s="9"/>
      <c r="ER238" s="9"/>
      <c r="ES238" s="9"/>
      <c r="ET238" s="9"/>
      <c r="EU238" s="9"/>
      <c r="EV238" s="9"/>
      <c r="EW238" s="9"/>
      <c r="EX238" s="9"/>
      <c r="EY238" s="9"/>
      <c r="EZ238" s="9"/>
      <c r="FA238" s="9"/>
      <c r="FB238" s="9"/>
      <c r="FC238" s="9"/>
      <c r="FD238" s="9"/>
      <c r="FE238" s="9"/>
      <c r="FF238" s="9"/>
      <c r="FG238" s="9"/>
      <c r="FH238" s="9"/>
      <c r="FI238" s="9"/>
    </row>
    <row r="239" spans="1:165" x14ac:dyDescent="0.2">
      <c r="A239" s="1" t="s">
        <v>926</v>
      </c>
      <c r="B239" s="1" t="s">
        <v>927</v>
      </c>
      <c r="C239" s="1" t="s">
        <v>928</v>
      </c>
      <c r="D239" s="1" t="str">
        <f>HYPERLINK("http://eros.fiehnlab.ucdavis.edu:8080/binbase-compound/bin/show/295269?db=rtx5","295269")</f>
        <v>295269</v>
      </c>
      <c r="E239" s="1" t="s">
        <v>929</v>
      </c>
      <c r="F239" s="1" t="s">
        <v>184</v>
      </c>
      <c r="G239" s="1" t="s">
        <v>184</v>
      </c>
      <c r="H239" s="1"/>
      <c r="I239" s="8">
        <v>1991</v>
      </c>
      <c r="J239" s="8">
        <v>499</v>
      </c>
      <c r="K239" s="8">
        <v>1264</v>
      </c>
      <c r="L239" s="8">
        <v>1217</v>
      </c>
      <c r="M239" s="8">
        <v>2390</v>
      </c>
      <c r="N239" s="8">
        <v>316</v>
      </c>
      <c r="O239" s="8">
        <v>385</v>
      </c>
      <c r="P239" s="8">
        <v>1255</v>
      </c>
      <c r="Q239" s="8">
        <v>2149</v>
      </c>
      <c r="R239" s="8">
        <v>2737</v>
      </c>
      <c r="S239" s="8">
        <v>2743</v>
      </c>
      <c r="T239" s="8">
        <v>2327</v>
      </c>
      <c r="U239" s="8">
        <v>643</v>
      </c>
      <c r="V239" s="8">
        <v>374</v>
      </c>
      <c r="W239" s="8">
        <v>2043</v>
      </c>
      <c r="X239" s="8">
        <v>2467</v>
      </c>
      <c r="Y239" s="8">
        <v>529</v>
      </c>
      <c r="Z239" s="8">
        <v>2508</v>
      </c>
      <c r="AA239" s="8">
        <v>771</v>
      </c>
      <c r="AB239" s="8">
        <v>1865</v>
      </c>
      <c r="AC239" s="8">
        <v>538</v>
      </c>
      <c r="AD239" s="8">
        <v>968</v>
      </c>
      <c r="AE239" s="8">
        <v>1820</v>
      </c>
      <c r="AF239" s="8">
        <v>2021</v>
      </c>
      <c r="AG239" s="8">
        <v>1864</v>
      </c>
      <c r="AH239" s="8">
        <v>1930</v>
      </c>
      <c r="AI239" s="8">
        <v>852</v>
      </c>
      <c r="AJ239" s="8">
        <v>4051</v>
      </c>
      <c r="AK239" s="8">
        <v>1429</v>
      </c>
      <c r="AL239" s="8">
        <v>2406</v>
      </c>
      <c r="AM239" s="8">
        <v>1327</v>
      </c>
      <c r="AN239" s="8">
        <v>1392</v>
      </c>
      <c r="AO239" s="8">
        <v>1802</v>
      </c>
      <c r="AP239" s="8">
        <v>431</v>
      </c>
      <c r="AQ239" s="8">
        <v>2784</v>
      </c>
      <c r="AR239" s="8">
        <v>3084</v>
      </c>
      <c r="AS239" s="8">
        <v>1259</v>
      </c>
      <c r="AT239" s="8">
        <v>1006</v>
      </c>
      <c r="AU239" s="8">
        <v>1338</v>
      </c>
      <c r="AV239" s="8">
        <v>1762</v>
      </c>
      <c r="AW239" s="8">
        <v>1448</v>
      </c>
      <c r="AX239" s="8">
        <v>1079</v>
      </c>
      <c r="AY239" s="8">
        <v>1297</v>
      </c>
      <c r="AZ239" s="8">
        <v>1828</v>
      </c>
      <c r="BA239" s="8">
        <v>421</v>
      </c>
      <c r="BB239" s="8">
        <v>3438</v>
      </c>
      <c r="BC239" s="8">
        <v>3263</v>
      </c>
      <c r="BD239" s="8">
        <v>2513</v>
      </c>
      <c r="BE239" s="8">
        <v>387</v>
      </c>
      <c r="BF239" s="8">
        <v>930</v>
      </c>
      <c r="BG239" s="8">
        <v>1325</v>
      </c>
      <c r="BH239" s="8">
        <v>52429</v>
      </c>
      <c r="BI239" s="8">
        <v>2417</v>
      </c>
      <c r="BJ239" s="8">
        <v>2379</v>
      </c>
      <c r="BK239" s="8">
        <v>1801</v>
      </c>
      <c r="BL239" s="8">
        <v>1831</v>
      </c>
      <c r="BM239" s="8">
        <v>1644</v>
      </c>
      <c r="BN239" s="8">
        <v>643</v>
      </c>
      <c r="BO239" s="8">
        <v>2582</v>
      </c>
      <c r="BP239" s="8">
        <v>2669</v>
      </c>
      <c r="BQ239" s="8">
        <v>2165</v>
      </c>
      <c r="BR239" s="8">
        <v>1171</v>
      </c>
      <c r="BS239" s="8">
        <v>2399</v>
      </c>
      <c r="BT239" s="8">
        <v>2536</v>
      </c>
      <c r="BU239" s="8">
        <v>2299</v>
      </c>
      <c r="BV239" s="8">
        <v>3012</v>
      </c>
      <c r="BW239" s="8">
        <v>897</v>
      </c>
      <c r="BX239" s="8">
        <v>970</v>
      </c>
      <c r="BY239" s="8">
        <v>1994</v>
      </c>
      <c r="BZ239" s="8">
        <v>366</v>
      </c>
      <c r="CA239" s="8">
        <v>398</v>
      </c>
      <c r="CB239" s="8">
        <v>2221</v>
      </c>
      <c r="CC239" s="8">
        <v>1446</v>
      </c>
      <c r="CD239" s="8">
        <v>733</v>
      </c>
      <c r="CE239" s="8">
        <v>174</v>
      </c>
      <c r="CF239" s="8">
        <v>1165</v>
      </c>
      <c r="CG239" s="8">
        <v>735</v>
      </c>
      <c r="CH239" s="8">
        <v>1966</v>
      </c>
      <c r="CJ239" s="9"/>
      <c r="CK239" s="9"/>
      <c r="CL239" s="9"/>
      <c r="CM239" s="9"/>
      <c r="CN239" s="9"/>
      <c r="CO239" s="9"/>
      <c r="CP239" s="9"/>
      <c r="CQ239" s="9"/>
      <c r="CR239" s="9"/>
      <c r="CS239" s="9"/>
      <c r="CT239" s="9"/>
      <c r="CU239" s="9"/>
      <c r="CV239" s="9"/>
      <c r="CW239" s="9"/>
      <c r="CX239" s="9"/>
      <c r="CY239" s="9"/>
      <c r="CZ239" s="9"/>
      <c r="DA239" s="9"/>
      <c r="DB239" s="9"/>
      <c r="DC239" s="9"/>
      <c r="DD239" s="9"/>
      <c r="DE239" s="9"/>
      <c r="DF239" s="9"/>
      <c r="DG239" s="9"/>
      <c r="DH239" s="9"/>
      <c r="DI239" s="9"/>
      <c r="DJ239" s="9"/>
      <c r="DK239" s="9"/>
      <c r="DL239" s="9"/>
      <c r="DM239" s="9"/>
      <c r="DN239" s="9"/>
      <c r="DO239" s="9"/>
      <c r="DP239" s="9"/>
      <c r="DQ239" s="9"/>
      <c r="DR239" s="9"/>
      <c r="DS239" s="9"/>
      <c r="DT239" s="9"/>
      <c r="DU239" s="9"/>
      <c r="DV239" s="9"/>
      <c r="DW239" s="9"/>
      <c r="DX239" s="9"/>
      <c r="DY239" s="9"/>
      <c r="DZ239" s="9"/>
      <c r="EA239" s="9"/>
      <c r="EB239" s="9"/>
      <c r="EC239" s="9"/>
      <c r="ED239" s="9"/>
      <c r="EE239" s="9"/>
      <c r="EF239" s="9"/>
      <c r="EG239" s="9"/>
      <c r="EH239" s="9"/>
      <c r="EI239" s="9"/>
      <c r="EJ239" s="9"/>
      <c r="EK239" s="9"/>
      <c r="EL239" s="9"/>
      <c r="EM239" s="9"/>
      <c r="EN239" s="9"/>
      <c r="EO239" s="9"/>
      <c r="EP239" s="9"/>
      <c r="EQ239" s="9"/>
      <c r="ER239" s="9"/>
      <c r="ES239" s="9"/>
      <c r="ET239" s="9"/>
      <c r="EU239" s="9"/>
      <c r="EV239" s="9"/>
      <c r="EW239" s="9"/>
      <c r="EX239" s="9"/>
      <c r="EY239" s="9"/>
      <c r="EZ239" s="9"/>
      <c r="FA239" s="9"/>
      <c r="FB239" s="9"/>
      <c r="FC239" s="9"/>
      <c r="FD239" s="9"/>
      <c r="FE239" s="9"/>
      <c r="FF239" s="9"/>
      <c r="FG239" s="9"/>
      <c r="FH239" s="9"/>
      <c r="FI239" s="9"/>
    </row>
    <row r="240" spans="1:165" x14ac:dyDescent="0.2">
      <c r="A240" s="1" t="s">
        <v>1290</v>
      </c>
      <c r="B240" s="1" t="s">
        <v>1291</v>
      </c>
      <c r="C240" s="1" t="s">
        <v>378</v>
      </c>
      <c r="D240" s="1" t="str">
        <f>HYPERLINK("http://eros.fiehnlab.ucdavis.edu:8080/binbase-compound/bin/show/213226?db=rtx5","213226")</f>
        <v>213226</v>
      </c>
      <c r="E240" s="1" t="s">
        <v>1292</v>
      </c>
      <c r="F240" s="1" t="s">
        <v>184</v>
      </c>
      <c r="G240" s="1" t="s">
        <v>184</v>
      </c>
      <c r="H240" s="1"/>
      <c r="I240" s="8">
        <v>282</v>
      </c>
      <c r="J240" s="8">
        <v>425</v>
      </c>
      <c r="K240" s="8">
        <v>414</v>
      </c>
      <c r="L240" s="8">
        <v>315</v>
      </c>
      <c r="M240" s="8">
        <v>400</v>
      </c>
      <c r="N240" s="8">
        <v>664</v>
      </c>
      <c r="O240" s="8">
        <v>368</v>
      </c>
      <c r="P240" s="8">
        <v>456</v>
      </c>
      <c r="Q240" s="8">
        <v>472</v>
      </c>
      <c r="R240" s="8">
        <v>522</v>
      </c>
      <c r="S240" s="8">
        <v>379</v>
      </c>
      <c r="T240" s="8">
        <v>626</v>
      </c>
      <c r="U240" s="8">
        <v>696</v>
      </c>
      <c r="V240" s="8">
        <v>354</v>
      </c>
      <c r="W240" s="8">
        <v>333</v>
      </c>
      <c r="X240" s="8">
        <v>379</v>
      </c>
      <c r="Y240" s="8">
        <v>470</v>
      </c>
      <c r="Z240" s="8">
        <v>401</v>
      </c>
      <c r="AA240" s="8">
        <v>231</v>
      </c>
      <c r="AB240" s="8">
        <v>369</v>
      </c>
      <c r="AC240" s="8">
        <v>735</v>
      </c>
      <c r="AD240" s="8">
        <v>458</v>
      </c>
      <c r="AE240" s="8">
        <v>399</v>
      </c>
      <c r="AF240" s="8">
        <v>560</v>
      </c>
      <c r="AG240" s="8">
        <v>309</v>
      </c>
      <c r="AH240" s="8">
        <v>158</v>
      </c>
      <c r="AI240" s="8">
        <v>315</v>
      </c>
      <c r="AJ240" s="8">
        <v>526</v>
      </c>
      <c r="AK240" s="8">
        <v>249</v>
      </c>
      <c r="AL240" s="8">
        <v>599</v>
      </c>
      <c r="AM240" s="8">
        <v>357</v>
      </c>
      <c r="AN240" s="8">
        <v>281</v>
      </c>
      <c r="AO240" s="8">
        <v>291</v>
      </c>
      <c r="AP240" s="8">
        <v>403</v>
      </c>
      <c r="AQ240" s="8">
        <v>502</v>
      </c>
      <c r="AR240" s="8">
        <v>432</v>
      </c>
      <c r="AS240" s="8">
        <v>510</v>
      </c>
      <c r="AT240" s="8">
        <v>402</v>
      </c>
      <c r="AU240" s="8">
        <v>210</v>
      </c>
      <c r="AV240" s="8">
        <v>404</v>
      </c>
      <c r="AW240" s="8">
        <v>305</v>
      </c>
      <c r="AX240" s="8">
        <v>458</v>
      </c>
      <c r="AY240" s="8">
        <v>301</v>
      </c>
      <c r="AZ240" s="8">
        <v>328</v>
      </c>
      <c r="BA240" s="8">
        <v>134</v>
      </c>
      <c r="BB240" s="8">
        <v>466</v>
      </c>
      <c r="BC240" s="8">
        <v>516</v>
      </c>
      <c r="BD240" s="8">
        <v>553</v>
      </c>
      <c r="BE240" s="8">
        <v>509</v>
      </c>
      <c r="BF240" s="8">
        <v>480</v>
      </c>
      <c r="BG240" s="8">
        <v>388</v>
      </c>
      <c r="BH240" s="8">
        <v>395</v>
      </c>
      <c r="BI240" s="8">
        <v>459</v>
      </c>
      <c r="BJ240" s="8">
        <v>483</v>
      </c>
      <c r="BK240" s="8">
        <v>439</v>
      </c>
      <c r="BL240" s="8">
        <v>236</v>
      </c>
      <c r="BM240" s="8">
        <v>530</v>
      </c>
      <c r="BN240" s="8">
        <v>253</v>
      </c>
      <c r="BO240" s="8">
        <v>365</v>
      </c>
      <c r="BP240" s="8">
        <v>441</v>
      </c>
      <c r="BQ240" s="8">
        <v>288</v>
      </c>
      <c r="BR240" s="8">
        <v>126</v>
      </c>
      <c r="BS240" s="8">
        <v>334</v>
      </c>
      <c r="BT240" s="8">
        <v>373</v>
      </c>
      <c r="BU240" s="8">
        <v>410</v>
      </c>
      <c r="BV240" s="8">
        <v>343</v>
      </c>
      <c r="BW240" s="8">
        <v>251</v>
      </c>
      <c r="BX240" s="8">
        <v>313</v>
      </c>
      <c r="BY240" s="8">
        <v>630</v>
      </c>
      <c r="BZ240" s="8">
        <v>323</v>
      </c>
      <c r="CA240" s="8">
        <v>514</v>
      </c>
      <c r="CB240" s="8">
        <v>511</v>
      </c>
      <c r="CC240" s="8">
        <v>375</v>
      </c>
      <c r="CD240" s="8">
        <v>230</v>
      </c>
      <c r="CE240" s="8">
        <v>464</v>
      </c>
      <c r="CF240" s="8">
        <v>392</v>
      </c>
      <c r="CG240" s="8">
        <v>399</v>
      </c>
      <c r="CH240" s="8">
        <v>385</v>
      </c>
      <c r="CJ240" s="9"/>
      <c r="CK240" s="9"/>
      <c r="CL240" s="9"/>
      <c r="CM240" s="9"/>
      <c r="CN240" s="9"/>
      <c r="CO240" s="9"/>
      <c r="CP240" s="9"/>
      <c r="CQ240" s="9"/>
      <c r="CR240" s="9"/>
      <c r="CS240" s="9"/>
      <c r="CT240" s="9"/>
      <c r="CU240" s="9"/>
      <c r="CV240" s="9"/>
      <c r="CW240" s="9"/>
      <c r="CX240" s="9"/>
      <c r="CY240" s="9"/>
      <c r="CZ240" s="9"/>
      <c r="DA240" s="9"/>
      <c r="DB240" s="9"/>
      <c r="DC240" s="9"/>
      <c r="DD240" s="9"/>
      <c r="DE240" s="9"/>
      <c r="DF240" s="9"/>
      <c r="DG240" s="9"/>
      <c r="DH240" s="9"/>
      <c r="DI240" s="9"/>
      <c r="DJ240" s="9"/>
      <c r="DK240" s="9"/>
      <c r="DL240" s="9"/>
      <c r="DM240" s="9"/>
      <c r="DN240" s="9"/>
      <c r="DO240" s="9"/>
      <c r="DP240" s="9"/>
      <c r="DQ240" s="9"/>
      <c r="DR240" s="9"/>
      <c r="DS240" s="9"/>
      <c r="DT240" s="9"/>
      <c r="DU240" s="9"/>
      <c r="DV240" s="9"/>
      <c r="DW240" s="9"/>
      <c r="DX240" s="9"/>
      <c r="DY240" s="9"/>
      <c r="DZ240" s="9"/>
      <c r="EA240" s="9"/>
      <c r="EB240" s="9"/>
      <c r="EC240" s="9"/>
      <c r="ED240" s="9"/>
      <c r="EE240" s="9"/>
      <c r="EF240" s="9"/>
      <c r="EG240" s="9"/>
      <c r="EH240" s="9"/>
      <c r="EI240" s="9"/>
      <c r="EJ240" s="9"/>
      <c r="EK240" s="9"/>
      <c r="EL240" s="9"/>
      <c r="EM240" s="9"/>
      <c r="EN240" s="9"/>
      <c r="EO240" s="9"/>
      <c r="EP240" s="9"/>
      <c r="EQ240" s="9"/>
      <c r="ER240" s="9"/>
      <c r="ES240" s="9"/>
      <c r="ET240" s="9"/>
      <c r="EU240" s="9"/>
      <c r="EV240" s="9"/>
      <c r="EW240" s="9"/>
      <c r="EX240" s="9"/>
      <c r="EY240" s="9"/>
      <c r="EZ240" s="9"/>
      <c r="FA240" s="9"/>
      <c r="FB240" s="9"/>
      <c r="FC240" s="9"/>
      <c r="FD240" s="9"/>
      <c r="FE240" s="9"/>
      <c r="FF240" s="9"/>
      <c r="FG240" s="9"/>
      <c r="FH240" s="9"/>
      <c r="FI240" s="9"/>
    </row>
    <row r="241" spans="1:165" x14ac:dyDescent="0.2">
      <c r="A241" s="1" t="s">
        <v>1229</v>
      </c>
      <c r="B241" s="1" t="s">
        <v>1230</v>
      </c>
      <c r="C241" s="1" t="s">
        <v>893</v>
      </c>
      <c r="D241" s="1" t="str">
        <f>HYPERLINK("http://eros.fiehnlab.ucdavis.edu:8080/binbase-compound/bin/show/222099?db=rtx5","222099")</f>
        <v>222099</v>
      </c>
      <c r="E241" s="1" t="s">
        <v>1231</v>
      </c>
      <c r="F241" s="1" t="s">
        <v>184</v>
      </c>
      <c r="G241" s="1" t="s">
        <v>184</v>
      </c>
      <c r="H241" s="1"/>
      <c r="I241" s="8">
        <v>686</v>
      </c>
      <c r="J241" s="8">
        <v>225</v>
      </c>
      <c r="K241" s="8">
        <v>289</v>
      </c>
      <c r="L241" s="8">
        <v>301</v>
      </c>
      <c r="M241" s="8">
        <v>343</v>
      </c>
      <c r="N241" s="8">
        <v>475</v>
      </c>
      <c r="O241" s="8">
        <v>443</v>
      </c>
      <c r="P241" s="8">
        <v>824</v>
      </c>
      <c r="Q241" s="8">
        <v>283</v>
      </c>
      <c r="R241" s="8">
        <v>763</v>
      </c>
      <c r="S241" s="8">
        <v>346</v>
      </c>
      <c r="T241" s="8">
        <v>563</v>
      </c>
      <c r="U241" s="8">
        <v>337</v>
      </c>
      <c r="V241" s="8">
        <v>459</v>
      </c>
      <c r="W241" s="8">
        <v>440</v>
      </c>
      <c r="X241" s="8">
        <v>467</v>
      </c>
      <c r="Y241" s="8">
        <v>344</v>
      </c>
      <c r="Z241" s="8">
        <v>687</v>
      </c>
      <c r="AA241" s="8">
        <v>521</v>
      </c>
      <c r="AB241" s="8">
        <v>297</v>
      </c>
      <c r="AC241" s="8">
        <v>154</v>
      </c>
      <c r="AD241" s="8">
        <v>358</v>
      </c>
      <c r="AE241" s="8">
        <v>369</v>
      </c>
      <c r="AF241" s="8">
        <v>337</v>
      </c>
      <c r="AG241" s="8">
        <v>325</v>
      </c>
      <c r="AH241" s="8">
        <v>299</v>
      </c>
      <c r="AI241" s="8">
        <v>445</v>
      </c>
      <c r="AJ241" s="8">
        <v>769</v>
      </c>
      <c r="AK241" s="8">
        <v>275</v>
      </c>
      <c r="AL241" s="8">
        <v>583</v>
      </c>
      <c r="AM241" s="8">
        <v>467</v>
      </c>
      <c r="AN241" s="8">
        <v>624</v>
      </c>
      <c r="AO241" s="8">
        <v>331</v>
      </c>
      <c r="AP241" s="8">
        <v>293</v>
      </c>
      <c r="AQ241" s="8">
        <v>636</v>
      </c>
      <c r="AR241" s="8">
        <v>360</v>
      </c>
      <c r="AS241" s="8">
        <v>304</v>
      </c>
      <c r="AT241" s="8">
        <v>309</v>
      </c>
      <c r="AU241" s="8">
        <v>333</v>
      </c>
      <c r="AV241" s="8">
        <v>295</v>
      </c>
      <c r="AW241" s="8">
        <v>404</v>
      </c>
      <c r="AX241" s="8">
        <v>339</v>
      </c>
      <c r="AY241" s="8">
        <v>416</v>
      </c>
      <c r="AZ241" s="8">
        <v>518</v>
      </c>
      <c r="BA241" s="8">
        <v>596</v>
      </c>
      <c r="BB241" s="8">
        <v>462</v>
      </c>
      <c r="BC241" s="8">
        <v>419</v>
      </c>
      <c r="BD241" s="8">
        <v>532</v>
      </c>
      <c r="BE241" s="8">
        <v>711</v>
      </c>
      <c r="BF241" s="8">
        <v>87</v>
      </c>
      <c r="BG241" s="8">
        <v>405</v>
      </c>
      <c r="BH241" s="8">
        <v>750</v>
      </c>
      <c r="BI241" s="8">
        <v>315</v>
      </c>
      <c r="BJ241" s="8">
        <v>272</v>
      </c>
      <c r="BK241" s="8">
        <v>439</v>
      </c>
      <c r="BL241" s="8">
        <v>723</v>
      </c>
      <c r="BM241" s="8">
        <v>552</v>
      </c>
      <c r="BN241" s="8">
        <v>511</v>
      </c>
      <c r="BO241" s="8">
        <v>1016</v>
      </c>
      <c r="BP241" s="8">
        <v>276</v>
      </c>
      <c r="BQ241" s="8">
        <v>812</v>
      </c>
      <c r="BR241" s="8">
        <v>454</v>
      </c>
      <c r="BS241" s="8">
        <v>708</v>
      </c>
      <c r="BT241" s="8">
        <v>328</v>
      </c>
      <c r="BU241" s="8">
        <v>474</v>
      </c>
      <c r="BV241" s="8">
        <v>619</v>
      </c>
      <c r="BW241" s="8">
        <v>382</v>
      </c>
      <c r="BX241" s="8">
        <v>427</v>
      </c>
      <c r="BY241" s="8">
        <v>192</v>
      </c>
      <c r="BZ241" s="8">
        <v>357</v>
      </c>
      <c r="CA241" s="8">
        <v>373</v>
      </c>
      <c r="CB241" s="8">
        <v>275</v>
      </c>
      <c r="CC241" s="8">
        <v>294</v>
      </c>
      <c r="CD241" s="8">
        <v>312</v>
      </c>
      <c r="CE241" s="8">
        <v>415</v>
      </c>
      <c r="CF241" s="8">
        <v>221</v>
      </c>
      <c r="CG241" s="8">
        <v>418</v>
      </c>
      <c r="CH241" s="8">
        <v>344</v>
      </c>
      <c r="CJ241" s="9"/>
      <c r="CK241" s="9"/>
      <c r="CL241" s="9"/>
      <c r="CM241" s="9"/>
      <c r="CN241" s="9"/>
      <c r="CO241" s="9"/>
      <c r="CP241" s="9"/>
      <c r="CQ241" s="9"/>
      <c r="CR241" s="9"/>
      <c r="CS241" s="9"/>
      <c r="CT241" s="9"/>
      <c r="CU241" s="9"/>
      <c r="CV241" s="9"/>
      <c r="CW241" s="9"/>
      <c r="CX241" s="9"/>
      <c r="CY241" s="9"/>
      <c r="CZ241" s="9"/>
      <c r="DA241" s="9"/>
      <c r="DB241" s="9"/>
      <c r="DC241" s="9"/>
      <c r="DD241" s="9"/>
      <c r="DE241" s="9"/>
      <c r="DF241" s="9"/>
      <c r="DG241" s="9"/>
      <c r="DH241" s="9"/>
      <c r="DI241" s="9"/>
      <c r="DJ241" s="9"/>
      <c r="DK241" s="9"/>
      <c r="DL241" s="9"/>
      <c r="DM241" s="9"/>
      <c r="DN241" s="9"/>
      <c r="DO241" s="9"/>
      <c r="DP241" s="9"/>
      <c r="DQ241" s="9"/>
      <c r="DR241" s="9"/>
      <c r="DS241" s="9"/>
      <c r="DT241" s="9"/>
      <c r="DU241" s="9"/>
      <c r="DV241" s="9"/>
      <c r="DW241" s="9"/>
      <c r="DX241" s="9"/>
      <c r="DY241" s="9"/>
      <c r="DZ241" s="9"/>
      <c r="EA241" s="9"/>
      <c r="EB241" s="9"/>
      <c r="EC241" s="9"/>
      <c r="ED241" s="9"/>
      <c r="EE241" s="9"/>
      <c r="EF241" s="9"/>
      <c r="EG241" s="9"/>
      <c r="EH241" s="9"/>
      <c r="EI241" s="9"/>
      <c r="EJ241" s="9"/>
      <c r="EK241" s="9"/>
      <c r="EL241" s="9"/>
      <c r="EM241" s="9"/>
      <c r="EN241" s="9"/>
      <c r="EO241" s="9"/>
      <c r="EP241" s="9"/>
      <c r="EQ241" s="9"/>
      <c r="ER241" s="9"/>
      <c r="ES241" s="9"/>
      <c r="ET241" s="9"/>
      <c r="EU241" s="9"/>
      <c r="EV241" s="9"/>
      <c r="EW241" s="9"/>
      <c r="EX241" s="9"/>
      <c r="EY241" s="9"/>
      <c r="EZ241" s="9"/>
      <c r="FA241" s="9"/>
      <c r="FB241" s="9"/>
      <c r="FC241" s="9"/>
      <c r="FD241" s="9"/>
      <c r="FE241" s="9"/>
      <c r="FF241" s="9"/>
      <c r="FG241" s="9"/>
      <c r="FH241" s="9"/>
      <c r="FI241" s="9"/>
    </row>
    <row r="242" spans="1:165" x14ac:dyDescent="0.2">
      <c r="A242" s="1" t="s">
        <v>954</v>
      </c>
      <c r="B242" s="1" t="s">
        <v>955</v>
      </c>
      <c r="C242" s="1" t="s">
        <v>453</v>
      </c>
      <c r="D242" s="1" t="str">
        <f>HYPERLINK("http://eros.fiehnlab.ucdavis.edu:8080/binbase-compound/bin/show/284388?db=rtx5","284388")</f>
        <v>284388</v>
      </c>
      <c r="E242" s="1" t="s">
        <v>956</v>
      </c>
      <c r="F242" s="1" t="s">
        <v>184</v>
      </c>
      <c r="G242" s="1" t="s">
        <v>184</v>
      </c>
      <c r="H242" s="1"/>
      <c r="I242" s="8">
        <v>5453</v>
      </c>
      <c r="J242" s="8">
        <v>5155</v>
      </c>
      <c r="K242" s="8">
        <v>6488</v>
      </c>
      <c r="L242" s="8">
        <v>5129</v>
      </c>
      <c r="M242" s="8">
        <v>5589</v>
      </c>
      <c r="N242" s="8">
        <v>6199</v>
      </c>
      <c r="O242" s="8">
        <v>4355</v>
      </c>
      <c r="P242" s="8">
        <v>5421</v>
      </c>
      <c r="Q242" s="8">
        <v>5003</v>
      </c>
      <c r="R242" s="8">
        <v>4447</v>
      </c>
      <c r="S242" s="8">
        <v>4911</v>
      </c>
      <c r="T242" s="8">
        <v>4605</v>
      </c>
      <c r="U242" s="8">
        <v>5565</v>
      </c>
      <c r="V242" s="8">
        <v>5902</v>
      </c>
      <c r="W242" s="8">
        <v>4838</v>
      </c>
      <c r="X242" s="8">
        <v>5259</v>
      </c>
      <c r="Y242" s="8">
        <v>4705</v>
      </c>
      <c r="Z242" s="8">
        <v>4635</v>
      </c>
      <c r="AA242" s="8">
        <v>1941</v>
      </c>
      <c r="AB242" s="8">
        <v>2673</v>
      </c>
      <c r="AC242" s="8">
        <v>2783</v>
      </c>
      <c r="AD242" s="8">
        <v>2773</v>
      </c>
      <c r="AE242" s="8">
        <v>2614</v>
      </c>
      <c r="AF242" s="8">
        <v>2018</v>
      </c>
      <c r="AG242" s="8">
        <v>5776</v>
      </c>
      <c r="AH242" s="8">
        <v>5787</v>
      </c>
      <c r="AI242" s="8">
        <v>5417</v>
      </c>
      <c r="AJ242" s="8">
        <v>6105</v>
      </c>
      <c r="AK242" s="8">
        <v>4839</v>
      </c>
      <c r="AL242" s="8">
        <v>3563</v>
      </c>
      <c r="AM242" s="8">
        <v>3174</v>
      </c>
      <c r="AN242" s="8">
        <v>2665</v>
      </c>
      <c r="AO242" s="8">
        <v>2631</v>
      </c>
      <c r="AP242" s="8">
        <v>2198</v>
      </c>
      <c r="AQ242" s="8">
        <v>2357</v>
      </c>
      <c r="AR242" s="8">
        <v>1782</v>
      </c>
      <c r="AS242" s="8">
        <v>4933</v>
      </c>
      <c r="AT242" s="8">
        <v>4334</v>
      </c>
      <c r="AU242" s="8">
        <v>3875</v>
      </c>
      <c r="AV242" s="8">
        <v>4171</v>
      </c>
      <c r="AW242" s="8">
        <v>3680</v>
      </c>
      <c r="AX242" s="8">
        <v>3747</v>
      </c>
      <c r="AY242" s="8">
        <v>659</v>
      </c>
      <c r="AZ242" s="8">
        <v>667</v>
      </c>
      <c r="BA242" s="8">
        <v>649</v>
      </c>
      <c r="BB242" s="8">
        <v>719</v>
      </c>
      <c r="BC242" s="8">
        <v>602</v>
      </c>
      <c r="BD242" s="8">
        <v>930</v>
      </c>
      <c r="BE242" s="8">
        <v>6366</v>
      </c>
      <c r="BF242" s="8">
        <v>5595</v>
      </c>
      <c r="BG242" s="8">
        <v>4789</v>
      </c>
      <c r="BH242" s="8">
        <v>4622</v>
      </c>
      <c r="BI242" s="8">
        <v>5929</v>
      </c>
      <c r="BJ242" s="8">
        <v>4789</v>
      </c>
      <c r="BK242" s="8">
        <v>21256</v>
      </c>
      <c r="BL242" s="8">
        <v>16367</v>
      </c>
      <c r="BM242" s="8">
        <v>19242</v>
      </c>
      <c r="BN242" s="8">
        <v>9867</v>
      </c>
      <c r="BO242" s="8">
        <v>19142</v>
      </c>
      <c r="BP242" s="8">
        <v>15038</v>
      </c>
      <c r="BQ242" s="8">
        <v>23957</v>
      </c>
      <c r="BR242" s="8">
        <v>24471</v>
      </c>
      <c r="BS242" s="8">
        <v>22449</v>
      </c>
      <c r="BT242" s="8">
        <v>17867</v>
      </c>
      <c r="BU242" s="8">
        <v>19774</v>
      </c>
      <c r="BV242" s="8">
        <v>14493</v>
      </c>
      <c r="BW242" s="8">
        <v>20743</v>
      </c>
      <c r="BX242" s="8">
        <v>10851</v>
      </c>
      <c r="BY242" s="8">
        <v>23350</v>
      </c>
      <c r="BZ242" s="8">
        <v>20427</v>
      </c>
      <c r="CA242" s="8">
        <v>20443</v>
      </c>
      <c r="CB242" s="8">
        <v>12844</v>
      </c>
      <c r="CC242" s="8">
        <v>22837</v>
      </c>
      <c r="CD242" s="8">
        <v>20982</v>
      </c>
      <c r="CE242" s="8">
        <v>22978</v>
      </c>
      <c r="CF242" s="8">
        <v>21030</v>
      </c>
      <c r="CG242" s="8">
        <v>17613</v>
      </c>
      <c r="CH242" s="8">
        <v>19711</v>
      </c>
      <c r="CJ242" s="9"/>
      <c r="CK242" s="9"/>
      <c r="CL242" s="9"/>
      <c r="CM242" s="9"/>
      <c r="CN242" s="9"/>
      <c r="CO242" s="9"/>
      <c r="CP242" s="9"/>
      <c r="CQ242" s="9"/>
      <c r="CR242" s="9"/>
      <c r="CS242" s="9"/>
      <c r="CT242" s="9"/>
      <c r="CU242" s="9"/>
      <c r="CV242" s="9"/>
      <c r="CW242" s="9"/>
      <c r="CX242" s="9"/>
      <c r="CY242" s="9"/>
      <c r="CZ242" s="9"/>
      <c r="DA242" s="9"/>
      <c r="DB242" s="9"/>
      <c r="DC242" s="9"/>
      <c r="DD242" s="9"/>
      <c r="DE242" s="9"/>
      <c r="DF242" s="9"/>
      <c r="DG242" s="9"/>
      <c r="DH242" s="9"/>
      <c r="DI242" s="9"/>
      <c r="DJ242" s="9"/>
      <c r="DK242" s="9"/>
      <c r="DL242" s="9"/>
      <c r="DM242" s="9"/>
      <c r="DN242" s="9"/>
      <c r="DO242" s="9"/>
      <c r="DP242" s="9"/>
      <c r="DQ242" s="9"/>
      <c r="DR242" s="9"/>
      <c r="DS242" s="9"/>
      <c r="DT242" s="9"/>
      <c r="DU242" s="9"/>
      <c r="DV242" s="9"/>
      <c r="DW242" s="9"/>
      <c r="DX242" s="9"/>
      <c r="DY242" s="9"/>
      <c r="DZ242" s="9"/>
      <c r="EA242" s="9"/>
      <c r="EB242" s="9"/>
      <c r="EC242" s="9"/>
      <c r="ED242" s="9"/>
      <c r="EE242" s="9"/>
      <c r="EF242" s="9"/>
      <c r="EG242" s="9"/>
      <c r="EH242" s="9"/>
      <c r="EI242" s="9"/>
      <c r="EJ242" s="9"/>
      <c r="EK242" s="9"/>
      <c r="EL242" s="9"/>
      <c r="EM242" s="9"/>
      <c r="EN242" s="9"/>
      <c r="EO242" s="9"/>
      <c r="EP242" s="9"/>
      <c r="EQ242" s="9"/>
      <c r="ER242" s="9"/>
      <c r="ES242" s="9"/>
      <c r="ET242" s="9"/>
      <c r="EU242" s="9"/>
      <c r="EV242" s="9"/>
      <c r="EW242" s="9"/>
      <c r="EX242" s="9"/>
      <c r="EY242" s="9"/>
      <c r="EZ242" s="9"/>
      <c r="FA242" s="9"/>
      <c r="FB242" s="9"/>
      <c r="FC242" s="9"/>
      <c r="FD242" s="9"/>
      <c r="FE242" s="9"/>
      <c r="FF242" s="9"/>
      <c r="FG242" s="9"/>
      <c r="FH242" s="9"/>
      <c r="FI242" s="9"/>
    </row>
    <row r="243" spans="1:165" x14ac:dyDescent="0.2">
      <c r="A243" s="1" t="s">
        <v>1323</v>
      </c>
      <c r="B243" s="1" t="s">
        <v>1324</v>
      </c>
      <c r="C243" s="1" t="s">
        <v>523</v>
      </c>
      <c r="D243" s="1" t="str">
        <f>HYPERLINK("http://eros.fiehnlab.ucdavis.edu:8080/binbase-compound/bin/show/206308?db=rtx5","206308")</f>
        <v>206308</v>
      </c>
      <c r="E243" s="1" t="s">
        <v>1325</v>
      </c>
      <c r="F243" s="1" t="s">
        <v>184</v>
      </c>
      <c r="G243" s="1" t="s">
        <v>184</v>
      </c>
      <c r="H243" s="1"/>
      <c r="I243" s="8">
        <v>447</v>
      </c>
      <c r="J243" s="8">
        <v>540</v>
      </c>
      <c r="K243" s="8">
        <v>417</v>
      </c>
      <c r="L243" s="8">
        <v>320</v>
      </c>
      <c r="M243" s="8">
        <v>293</v>
      </c>
      <c r="N243" s="8">
        <v>665</v>
      </c>
      <c r="O243" s="8">
        <v>319</v>
      </c>
      <c r="P243" s="8">
        <v>602</v>
      </c>
      <c r="Q243" s="8">
        <v>264</v>
      </c>
      <c r="R243" s="8">
        <v>176</v>
      </c>
      <c r="S243" s="8">
        <v>243</v>
      </c>
      <c r="T243" s="8">
        <v>431</v>
      </c>
      <c r="U243" s="8">
        <v>228</v>
      </c>
      <c r="V243" s="8">
        <v>391</v>
      </c>
      <c r="W243" s="8">
        <v>391</v>
      </c>
      <c r="X243" s="8">
        <v>240</v>
      </c>
      <c r="Y243" s="8">
        <v>369</v>
      </c>
      <c r="Z243" s="8">
        <v>278</v>
      </c>
      <c r="AA243" s="8">
        <v>174</v>
      </c>
      <c r="AB243" s="8">
        <v>149</v>
      </c>
      <c r="AC243" s="8">
        <v>132</v>
      </c>
      <c r="AD243" s="8">
        <v>148</v>
      </c>
      <c r="AE243" s="8">
        <v>164</v>
      </c>
      <c r="AF243" s="8">
        <v>179</v>
      </c>
      <c r="AG243" s="8">
        <v>368</v>
      </c>
      <c r="AH243" s="8">
        <v>477</v>
      </c>
      <c r="AI243" s="8">
        <v>198</v>
      </c>
      <c r="AJ243" s="8">
        <v>204</v>
      </c>
      <c r="AK243" s="8">
        <v>205</v>
      </c>
      <c r="AL243" s="8">
        <v>183</v>
      </c>
      <c r="AM243" s="8">
        <v>491</v>
      </c>
      <c r="AN243" s="8">
        <v>292</v>
      </c>
      <c r="AO243" s="8">
        <v>354</v>
      </c>
      <c r="AP243" s="8">
        <v>627</v>
      </c>
      <c r="AQ243" s="8">
        <v>254</v>
      </c>
      <c r="AR243" s="8">
        <v>494</v>
      </c>
      <c r="AS243" s="8">
        <v>489</v>
      </c>
      <c r="AT243" s="8">
        <v>313</v>
      </c>
      <c r="AU243" s="8">
        <v>354</v>
      </c>
      <c r="AV243" s="8">
        <v>617</v>
      </c>
      <c r="AW243" s="8">
        <v>223</v>
      </c>
      <c r="AX243" s="8">
        <v>440</v>
      </c>
      <c r="AY243" s="8">
        <v>97</v>
      </c>
      <c r="AZ243" s="8">
        <v>189</v>
      </c>
      <c r="BA243" s="8">
        <v>132</v>
      </c>
      <c r="BB243" s="8">
        <v>148</v>
      </c>
      <c r="BC243" s="8">
        <v>106</v>
      </c>
      <c r="BD243" s="8">
        <v>83</v>
      </c>
      <c r="BE243" s="8">
        <v>294</v>
      </c>
      <c r="BF243" s="8">
        <v>485</v>
      </c>
      <c r="BG243" s="8">
        <v>272</v>
      </c>
      <c r="BH243" s="8">
        <v>383</v>
      </c>
      <c r="BI243" s="8">
        <v>244</v>
      </c>
      <c r="BJ243" s="8">
        <v>119</v>
      </c>
      <c r="BK243" s="8">
        <v>360</v>
      </c>
      <c r="BL243" s="8">
        <v>368</v>
      </c>
      <c r="BM243" s="8">
        <v>668</v>
      </c>
      <c r="BN243" s="8">
        <v>288</v>
      </c>
      <c r="BO243" s="8">
        <v>340</v>
      </c>
      <c r="BP243" s="8">
        <v>182</v>
      </c>
      <c r="BQ243" s="8">
        <v>351</v>
      </c>
      <c r="BR243" s="8">
        <v>507</v>
      </c>
      <c r="BS243" s="8">
        <v>427</v>
      </c>
      <c r="BT243" s="8">
        <v>233</v>
      </c>
      <c r="BU243" s="8">
        <v>296</v>
      </c>
      <c r="BV243" s="8">
        <v>195</v>
      </c>
      <c r="BW243" s="8">
        <v>129</v>
      </c>
      <c r="BX243" s="8">
        <v>123</v>
      </c>
      <c r="BY243" s="8">
        <v>109</v>
      </c>
      <c r="BZ243" s="8">
        <v>186</v>
      </c>
      <c r="CA243" s="8">
        <v>85</v>
      </c>
      <c r="CB243" s="8">
        <v>163</v>
      </c>
      <c r="CC243" s="8">
        <v>369</v>
      </c>
      <c r="CD243" s="8">
        <v>326</v>
      </c>
      <c r="CE243" s="8">
        <v>293</v>
      </c>
      <c r="CF243" s="8">
        <v>291</v>
      </c>
      <c r="CG243" s="8">
        <v>526</v>
      </c>
      <c r="CH243" s="8">
        <v>174</v>
      </c>
      <c r="CJ243" s="9"/>
      <c r="CK243" s="9"/>
      <c r="CL243" s="9"/>
      <c r="CM243" s="9"/>
      <c r="CN243" s="9"/>
      <c r="CO243" s="9"/>
      <c r="CP243" s="9"/>
      <c r="CQ243" s="9"/>
      <c r="CR243" s="9"/>
      <c r="CS243" s="9"/>
      <c r="CT243" s="9"/>
      <c r="CU243" s="9"/>
      <c r="CV243" s="9"/>
      <c r="CW243" s="9"/>
      <c r="CX243" s="9"/>
      <c r="CY243" s="9"/>
      <c r="CZ243" s="9"/>
      <c r="DA243" s="9"/>
      <c r="DB243" s="9"/>
      <c r="DC243" s="9"/>
      <c r="DD243" s="9"/>
      <c r="DE243" s="9"/>
      <c r="DF243" s="9"/>
      <c r="DG243" s="9"/>
      <c r="DH243" s="9"/>
      <c r="DI243" s="9"/>
      <c r="DJ243" s="9"/>
      <c r="DK243" s="9"/>
      <c r="DL243" s="9"/>
      <c r="DM243" s="9"/>
      <c r="DN243" s="9"/>
      <c r="DO243" s="9"/>
      <c r="DP243" s="9"/>
      <c r="DQ243" s="9"/>
      <c r="DR243" s="9"/>
      <c r="DS243" s="9"/>
      <c r="DT243" s="9"/>
      <c r="DU243" s="9"/>
      <c r="DV243" s="9"/>
      <c r="DW243" s="9"/>
      <c r="DX243" s="9"/>
      <c r="DY243" s="9"/>
      <c r="DZ243" s="9"/>
      <c r="EA243" s="9"/>
      <c r="EB243" s="9"/>
      <c r="EC243" s="9"/>
      <c r="ED243" s="9"/>
      <c r="EE243" s="9"/>
      <c r="EF243" s="9"/>
      <c r="EG243" s="9"/>
      <c r="EH243" s="9"/>
      <c r="EI243" s="9"/>
      <c r="EJ243" s="9"/>
      <c r="EK243" s="9"/>
      <c r="EL243" s="9"/>
      <c r="EM243" s="9"/>
      <c r="EN243" s="9"/>
      <c r="EO243" s="9"/>
      <c r="EP243" s="9"/>
      <c r="EQ243" s="9"/>
      <c r="ER243" s="9"/>
      <c r="ES243" s="9"/>
      <c r="ET243" s="9"/>
      <c r="EU243" s="9"/>
      <c r="EV243" s="9"/>
      <c r="EW243" s="9"/>
      <c r="EX243" s="9"/>
      <c r="EY243" s="9"/>
      <c r="EZ243" s="9"/>
      <c r="FA243" s="9"/>
      <c r="FB243" s="9"/>
      <c r="FC243" s="9"/>
      <c r="FD243" s="9"/>
      <c r="FE243" s="9"/>
      <c r="FF243" s="9"/>
      <c r="FG243" s="9"/>
      <c r="FH243" s="9"/>
      <c r="FI243" s="9"/>
    </row>
    <row r="244" spans="1:165" x14ac:dyDescent="0.2">
      <c r="A244" s="1" t="s">
        <v>757</v>
      </c>
      <c r="B244" s="1" t="s">
        <v>758</v>
      </c>
      <c r="C244" s="1" t="s">
        <v>759</v>
      </c>
      <c r="D244" s="1" t="str">
        <f>HYPERLINK("http://eros.fiehnlab.ucdavis.edu:8080/binbase-compound/bin/show/367932?db=rtx5","367932")</f>
        <v>367932</v>
      </c>
      <c r="E244" s="1" t="s">
        <v>760</v>
      </c>
      <c r="F244" s="1" t="s">
        <v>184</v>
      </c>
      <c r="G244" s="1" t="s">
        <v>184</v>
      </c>
      <c r="H244" s="1"/>
      <c r="I244" s="8">
        <v>6359</v>
      </c>
      <c r="J244" s="8">
        <v>6184</v>
      </c>
      <c r="K244" s="8">
        <v>6690</v>
      </c>
      <c r="L244" s="8">
        <v>6639</v>
      </c>
      <c r="M244" s="8">
        <v>9017</v>
      </c>
      <c r="N244" s="8">
        <v>275</v>
      </c>
      <c r="O244" s="8">
        <v>5891</v>
      </c>
      <c r="P244" s="8">
        <v>6753</v>
      </c>
      <c r="Q244" s="8">
        <v>6941</v>
      </c>
      <c r="R244" s="8">
        <v>236</v>
      </c>
      <c r="S244" s="8">
        <v>8670</v>
      </c>
      <c r="T244" s="8">
        <v>176</v>
      </c>
      <c r="U244" s="8">
        <v>7700</v>
      </c>
      <c r="V244" s="8">
        <v>6650</v>
      </c>
      <c r="W244" s="8">
        <v>2431</v>
      </c>
      <c r="X244" s="8">
        <v>7391</v>
      </c>
      <c r="Y244" s="8">
        <v>5800</v>
      </c>
      <c r="Z244" s="8">
        <v>174</v>
      </c>
      <c r="AA244" s="8">
        <v>3602</v>
      </c>
      <c r="AB244" s="8">
        <v>6193</v>
      </c>
      <c r="AC244" s="8">
        <v>5529</v>
      </c>
      <c r="AD244" s="8">
        <v>6556</v>
      </c>
      <c r="AE244" s="8">
        <v>5539</v>
      </c>
      <c r="AF244" s="8">
        <v>199</v>
      </c>
      <c r="AG244" s="8">
        <v>5019</v>
      </c>
      <c r="AH244" s="8">
        <v>6170</v>
      </c>
      <c r="AI244" s="8">
        <v>5748</v>
      </c>
      <c r="AJ244" s="8">
        <v>6341</v>
      </c>
      <c r="AK244" s="8">
        <v>200</v>
      </c>
      <c r="AL244" s="8">
        <v>194</v>
      </c>
      <c r="AM244" s="8">
        <v>7889</v>
      </c>
      <c r="AN244" s="8">
        <v>7262</v>
      </c>
      <c r="AO244" s="8">
        <v>7325</v>
      </c>
      <c r="AP244" s="8">
        <v>6475</v>
      </c>
      <c r="AQ244" s="8">
        <v>213</v>
      </c>
      <c r="AR244" s="8">
        <v>6559</v>
      </c>
      <c r="AS244" s="8">
        <v>6349</v>
      </c>
      <c r="AT244" s="8">
        <v>7117</v>
      </c>
      <c r="AU244" s="8">
        <v>6538</v>
      </c>
      <c r="AV244" s="8">
        <v>5818</v>
      </c>
      <c r="AW244" s="8">
        <v>5960</v>
      </c>
      <c r="AX244" s="8">
        <v>5971</v>
      </c>
      <c r="AY244" s="8">
        <v>7392</v>
      </c>
      <c r="AZ244" s="8">
        <v>6746</v>
      </c>
      <c r="BA244" s="8">
        <v>255</v>
      </c>
      <c r="BB244" s="8">
        <v>8623</v>
      </c>
      <c r="BC244" s="8">
        <v>211</v>
      </c>
      <c r="BD244" s="8">
        <v>205</v>
      </c>
      <c r="BE244" s="8">
        <v>5965</v>
      </c>
      <c r="BF244" s="8">
        <v>6150</v>
      </c>
      <c r="BG244" s="8">
        <v>6105</v>
      </c>
      <c r="BH244" s="8">
        <v>4723</v>
      </c>
      <c r="BI244" s="8">
        <v>4644</v>
      </c>
      <c r="BJ244" s="8">
        <v>5394</v>
      </c>
      <c r="BK244" s="8">
        <v>6915</v>
      </c>
      <c r="BL244" s="8">
        <v>7170</v>
      </c>
      <c r="BM244" s="8">
        <v>7231</v>
      </c>
      <c r="BN244" s="8">
        <v>4771</v>
      </c>
      <c r="BO244" s="8">
        <v>6828</v>
      </c>
      <c r="BP244" s="8">
        <v>7451</v>
      </c>
      <c r="BQ244" s="8">
        <v>6177</v>
      </c>
      <c r="BR244" s="8">
        <v>5673</v>
      </c>
      <c r="BS244" s="8">
        <v>6173</v>
      </c>
      <c r="BT244" s="8">
        <v>126</v>
      </c>
      <c r="BU244" s="8">
        <v>3226</v>
      </c>
      <c r="BV244" s="8">
        <v>6397</v>
      </c>
      <c r="BW244" s="8">
        <v>6226</v>
      </c>
      <c r="BX244" s="8">
        <v>6154</v>
      </c>
      <c r="BY244" s="8">
        <v>6382</v>
      </c>
      <c r="BZ244" s="8">
        <v>5868</v>
      </c>
      <c r="CA244" s="8">
        <v>6620</v>
      </c>
      <c r="CB244" s="8">
        <v>162</v>
      </c>
      <c r="CC244" s="8">
        <v>5613</v>
      </c>
      <c r="CD244" s="8">
        <v>5019</v>
      </c>
      <c r="CE244" s="8">
        <v>5649</v>
      </c>
      <c r="CF244" s="8">
        <v>5100</v>
      </c>
      <c r="CG244" s="8">
        <v>5274</v>
      </c>
      <c r="CH244" s="8">
        <v>6274</v>
      </c>
      <c r="CJ244" s="9"/>
      <c r="CK244" s="9"/>
      <c r="CL244" s="9"/>
      <c r="CM244" s="9"/>
      <c r="CN244" s="9"/>
      <c r="CO244" s="9"/>
      <c r="CP244" s="9"/>
      <c r="CQ244" s="9"/>
      <c r="CR244" s="9"/>
      <c r="CS244" s="9"/>
      <c r="CT244" s="9"/>
      <c r="CU244" s="9"/>
      <c r="CV244" s="9"/>
      <c r="CW244" s="9"/>
      <c r="CX244" s="9"/>
      <c r="CY244" s="9"/>
      <c r="CZ244" s="9"/>
      <c r="DA244" s="9"/>
      <c r="DB244" s="9"/>
      <c r="DC244" s="9"/>
      <c r="DD244" s="9"/>
      <c r="DE244" s="9"/>
      <c r="DF244" s="9"/>
      <c r="DG244" s="9"/>
      <c r="DH244" s="9"/>
      <c r="DI244" s="9"/>
      <c r="DJ244" s="9"/>
      <c r="DK244" s="9"/>
      <c r="DL244" s="9"/>
      <c r="DM244" s="9"/>
      <c r="DN244" s="9"/>
      <c r="DO244" s="9"/>
      <c r="DP244" s="9"/>
      <c r="DQ244" s="9"/>
      <c r="DR244" s="9"/>
      <c r="DS244" s="9"/>
      <c r="DT244" s="9"/>
      <c r="DU244" s="9"/>
      <c r="DV244" s="9"/>
      <c r="DW244" s="9"/>
      <c r="DX244" s="9"/>
      <c r="DY244" s="9"/>
      <c r="DZ244" s="9"/>
      <c r="EA244" s="9"/>
      <c r="EB244" s="9"/>
      <c r="EC244" s="9"/>
      <c r="ED244" s="9"/>
      <c r="EE244" s="9"/>
      <c r="EF244" s="9"/>
      <c r="EG244" s="9"/>
      <c r="EH244" s="9"/>
      <c r="EI244" s="9"/>
      <c r="EJ244" s="9"/>
      <c r="EK244" s="9"/>
      <c r="EL244" s="9"/>
      <c r="EM244" s="9"/>
      <c r="EN244" s="9"/>
      <c r="EO244" s="9"/>
      <c r="EP244" s="9"/>
      <c r="EQ244" s="9"/>
      <c r="ER244" s="9"/>
      <c r="ES244" s="9"/>
      <c r="ET244" s="9"/>
      <c r="EU244" s="9"/>
      <c r="EV244" s="9"/>
      <c r="EW244" s="9"/>
      <c r="EX244" s="9"/>
      <c r="EY244" s="9"/>
      <c r="EZ244" s="9"/>
      <c r="FA244" s="9"/>
      <c r="FB244" s="9"/>
      <c r="FC244" s="9"/>
      <c r="FD244" s="9"/>
      <c r="FE244" s="9"/>
      <c r="FF244" s="9"/>
      <c r="FG244" s="9"/>
      <c r="FH244" s="9"/>
      <c r="FI244" s="9"/>
    </row>
    <row r="245" spans="1:165" x14ac:dyDescent="0.2">
      <c r="A245" s="1" t="s">
        <v>1075</v>
      </c>
      <c r="B245" s="1" t="s">
        <v>1076</v>
      </c>
      <c r="C245" s="1" t="s">
        <v>848</v>
      </c>
      <c r="D245" s="1" t="str">
        <f>HYPERLINK("http://eros.fiehnlab.ucdavis.edu:8080/binbase-compound/bin/show/239718?db=rtx5","239718")</f>
        <v>239718</v>
      </c>
      <c r="E245" s="1" t="s">
        <v>1077</v>
      </c>
      <c r="F245" s="1" t="s">
        <v>184</v>
      </c>
      <c r="G245" s="1" t="s">
        <v>184</v>
      </c>
      <c r="H245" s="1"/>
      <c r="I245" s="8">
        <v>1417</v>
      </c>
      <c r="J245" s="8">
        <v>1294</v>
      </c>
      <c r="K245" s="8">
        <v>1021</v>
      </c>
      <c r="L245" s="8">
        <v>1073</v>
      </c>
      <c r="M245" s="8">
        <v>1843</v>
      </c>
      <c r="N245" s="8">
        <v>1932</v>
      </c>
      <c r="O245" s="8">
        <v>853</v>
      </c>
      <c r="P245" s="8">
        <v>1349</v>
      </c>
      <c r="Q245" s="8">
        <v>1807</v>
      </c>
      <c r="R245" s="8">
        <v>1516</v>
      </c>
      <c r="S245" s="8">
        <v>1898</v>
      </c>
      <c r="T245" s="8">
        <v>1682</v>
      </c>
      <c r="U245" s="8">
        <v>1116</v>
      </c>
      <c r="V245" s="8">
        <v>931</v>
      </c>
      <c r="W245" s="8">
        <v>1327</v>
      </c>
      <c r="X245" s="8">
        <v>2036</v>
      </c>
      <c r="Y245" s="8">
        <v>1375</v>
      </c>
      <c r="Z245" s="8">
        <v>2070</v>
      </c>
      <c r="AA245" s="8">
        <v>721</v>
      </c>
      <c r="AB245" s="8">
        <v>1056</v>
      </c>
      <c r="AC245" s="8">
        <v>1113</v>
      </c>
      <c r="AD245" s="8">
        <v>1232</v>
      </c>
      <c r="AE245" s="8">
        <v>1543</v>
      </c>
      <c r="AF245" s="8">
        <v>1008</v>
      </c>
      <c r="AG245" s="8">
        <v>802</v>
      </c>
      <c r="AH245" s="8">
        <v>845</v>
      </c>
      <c r="AI245" s="8">
        <v>1348</v>
      </c>
      <c r="AJ245" s="8">
        <v>2266</v>
      </c>
      <c r="AK245" s="8">
        <v>1508</v>
      </c>
      <c r="AL245" s="8">
        <v>1886</v>
      </c>
      <c r="AM245" s="8">
        <v>1305</v>
      </c>
      <c r="AN245" s="8">
        <v>1249</v>
      </c>
      <c r="AO245" s="8">
        <v>1283</v>
      </c>
      <c r="AP245" s="8">
        <v>2299</v>
      </c>
      <c r="AQ245" s="8">
        <v>1814</v>
      </c>
      <c r="AR245" s="8">
        <v>1206</v>
      </c>
      <c r="AS245" s="8">
        <v>1156</v>
      </c>
      <c r="AT245" s="8">
        <v>1352</v>
      </c>
      <c r="AU245" s="8">
        <v>994</v>
      </c>
      <c r="AV245" s="8">
        <v>849</v>
      </c>
      <c r="AW245" s="8">
        <v>2094</v>
      </c>
      <c r="AX245" s="8">
        <v>992</v>
      </c>
      <c r="AY245" s="8">
        <v>1167</v>
      </c>
      <c r="AZ245" s="8">
        <v>1811</v>
      </c>
      <c r="BA245" s="8">
        <v>1975</v>
      </c>
      <c r="BB245" s="8">
        <v>1940</v>
      </c>
      <c r="BC245" s="8">
        <v>2413</v>
      </c>
      <c r="BD245" s="8">
        <v>1974</v>
      </c>
      <c r="BE245" s="8">
        <v>838</v>
      </c>
      <c r="BF245" s="8">
        <v>969</v>
      </c>
      <c r="BG245" s="8">
        <v>1016</v>
      </c>
      <c r="BH245" s="8">
        <v>918</v>
      </c>
      <c r="BI245" s="8">
        <v>1577</v>
      </c>
      <c r="BJ245" s="8">
        <v>1608</v>
      </c>
      <c r="BK245" s="8">
        <v>1390</v>
      </c>
      <c r="BL245" s="8">
        <v>1212</v>
      </c>
      <c r="BM245" s="8">
        <v>1355</v>
      </c>
      <c r="BN245" s="8">
        <v>1438</v>
      </c>
      <c r="BO245" s="8">
        <v>1435</v>
      </c>
      <c r="BP245" s="8">
        <v>1487</v>
      </c>
      <c r="BQ245" s="8">
        <v>1109</v>
      </c>
      <c r="BR245" s="8">
        <v>1253</v>
      </c>
      <c r="BS245" s="8">
        <v>848</v>
      </c>
      <c r="BT245" s="8">
        <v>1326</v>
      </c>
      <c r="BU245" s="8">
        <v>1129</v>
      </c>
      <c r="BV245" s="8">
        <v>1598</v>
      </c>
      <c r="BW245" s="8">
        <v>863</v>
      </c>
      <c r="BX245" s="8">
        <v>1271</v>
      </c>
      <c r="BY245" s="8">
        <v>1056</v>
      </c>
      <c r="BZ245" s="8">
        <v>2312</v>
      </c>
      <c r="CA245" s="8">
        <v>2017</v>
      </c>
      <c r="CB245" s="8">
        <v>1094</v>
      </c>
      <c r="CC245" s="8">
        <v>1164</v>
      </c>
      <c r="CD245" s="8">
        <v>864</v>
      </c>
      <c r="CE245" s="8">
        <v>1190</v>
      </c>
      <c r="CF245" s="8">
        <v>658</v>
      </c>
      <c r="CG245" s="8">
        <v>1233</v>
      </c>
      <c r="CH245" s="8">
        <v>1504</v>
      </c>
      <c r="CJ245" s="9"/>
      <c r="CK245" s="9"/>
      <c r="CL245" s="9"/>
      <c r="CM245" s="9"/>
      <c r="CN245" s="9"/>
      <c r="CO245" s="9"/>
      <c r="CP245" s="9"/>
      <c r="CQ245" s="9"/>
      <c r="CR245" s="9"/>
      <c r="CS245" s="9"/>
      <c r="CT245" s="9"/>
      <c r="CU245" s="9"/>
      <c r="CV245" s="9"/>
      <c r="CW245" s="9"/>
      <c r="CX245" s="9"/>
      <c r="CY245" s="9"/>
      <c r="CZ245" s="9"/>
      <c r="DA245" s="9"/>
      <c r="DB245" s="9"/>
      <c r="DC245" s="9"/>
      <c r="DD245" s="9"/>
      <c r="DE245" s="9"/>
      <c r="DF245" s="9"/>
      <c r="DG245" s="9"/>
      <c r="DH245" s="9"/>
      <c r="DI245" s="9"/>
      <c r="DJ245" s="9"/>
      <c r="DK245" s="9"/>
      <c r="DL245" s="9"/>
      <c r="DM245" s="9"/>
      <c r="DN245" s="9"/>
      <c r="DO245" s="9"/>
      <c r="DP245" s="9"/>
      <c r="DQ245" s="9"/>
      <c r="DR245" s="9"/>
      <c r="DS245" s="9"/>
      <c r="DT245" s="9"/>
      <c r="DU245" s="9"/>
      <c r="DV245" s="9"/>
      <c r="DW245" s="9"/>
      <c r="DX245" s="9"/>
      <c r="DY245" s="9"/>
      <c r="DZ245" s="9"/>
      <c r="EA245" s="9"/>
      <c r="EB245" s="9"/>
      <c r="EC245" s="9"/>
      <c r="ED245" s="9"/>
      <c r="EE245" s="9"/>
      <c r="EF245" s="9"/>
      <c r="EG245" s="9"/>
      <c r="EH245" s="9"/>
      <c r="EI245" s="9"/>
      <c r="EJ245" s="9"/>
      <c r="EK245" s="9"/>
      <c r="EL245" s="9"/>
      <c r="EM245" s="9"/>
      <c r="EN245" s="9"/>
      <c r="EO245" s="9"/>
      <c r="EP245" s="9"/>
      <c r="EQ245" s="9"/>
      <c r="ER245" s="9"/>
      <c r="ES245" s="9"/>
      <c r="ET245" s="9"/>
      <c r="EU245" s="9"/>
      <c r="EV245" s="9"/>
      <c r="EW245" s="9"/>
      <c r="EX245" s="9"/>
      <c r="EY245" s="9"/>
      <c r="EZ245" s="9"/>
      <c r="FA245" s="9"/>
      <c r="FB245" s="9"/>
      <c r="FC245" s="9"/>
      <c r="FD245" s="9"/>
      <c r="FE245" s="9"/>
      <c r="FF245" s="9"/>
      <c r="FG245" s="9"/>
      <c r="FH245" s="9"/>
      <c r="FI245" s="9"/>
    </row>
    <row r="246" spans="1:165" x14ac:dyDescent="0.2">
      <c r="A246" s="1" t="s">
        <v>1373</v>
      </c>
      <c r="B246" s="1" t="s">
        <v>1374</v>
      </c>
      <c r="C246" s="1" t="s">
        <v>301</v>
      </c>
      <c r="D246" s="1" t="str">
        <f>HYPERLINK("http://eros.fiehnlab.ucdavis.edu:8080/binbase-compound/bin/show/200821?db=rtx5","200821")</f>
        <v>200821</v>
      </c>
      <c r="E246" s="1" t="s">
        <v>1375</v>
      </c>
      <c r="F246" s="1" t="s">
        <v>184</v>
      </c>
      <c r="G246" s="1" t="s">
        <v>184</v>
      </c>
      <c r="H246" s="1"/>
      <c r="I246" s="8">
        <v>511</v>
      </c>
      <c r="J246" s="8">
        <v>401</v>
      </c>
      <c r="K246" s="8">
        <v>500</v>
      </c>
      <c r="L246" s="8">
        <v>272</v>
      </c>
      <c r="M246" s="8">
        <v>703</v>
      </c>
      <c r="N246" s="8">
        <v>50</v>
      </c>
      <c r="O246" s="8">
        <v>69</v>
      </c>
      <c r="P246" s="8">
        <v>681</v>
      </c>
      <c r="Q246" s="8">
        <v>406</v>
      </c>
      <c r="R246" s="8">
        <v>541</v>
      </c>
      <c r="S246" s="8">
        <v>694</v>
      </c>
      <c r="T246" s="8">
        <v>68</v>
      </c>
      <c r="U246" s="8">
        <v>525</v>
      </c>
      <c r="V246" s="8">
        <v>397</v>
      </c>
      <c r="W246" s="8">
        <v>412</v>
      </c>
      <c r="X246" s="8">
        <v>451</v>
      </c>
      <c r="Y246" s="8">
        <v>570</v>
      </c>
      <c r="Z246" s="8">
        <v>80</v>
      </c>
      <c r="AA246" s="8">
        <v>123</v>
      </c>
      <c r="AB246" s="8">
        <v>133</v>
      </c>
      <c r="AC246" s="8">
        <v>130</v>
      </c>
      <c r="AD246" s="8">
        <v>127</v>
      </c>
      <c r="AE246" s="8">
        <v>134</v>
      </c>
      <c r="AF246" s="8">
        <v>83</v>
      </c>
      <c r="AG246" s="8">
        <v>270</v>
      </c>
      <c r="AH246" s="8">
        <v>421</v>
      </c>
      <c r="AI246" s="8">
        <v>128</v>
      </c>
      <c r="AJ246" s="8">
        <v>572</v>
      </c>
      <c r="AK246" s="8">
        <v>355</v>
      </c>
      <c r="AL246" s="8">
        <v>218</v>
      </c>
      <c r="AM246" s="8">
        <v>530</v>
      </c>
      <c r="AN246" s="8">
        <v>631</v>
      </c>
      <c r="AO246" s="8">
        <v>487</v>
      </c>
      <c r="AP246" s="8">
        <v>753</v>
      </c>
      <c r="AQ246" s="8">
        <v>599</v>
      </c>
      <c r="AR246" s="8">
        <v>734</v>
      </c>
      <c r="AS246" s="8">
        <v>494</v>
      </c>
      <c r="AT246" s="8">
        <v>498</v>
      </c>
      <c r="AU246" s="8">
        <v>27</v>
      </c>
      <c r="AV246" s="8">
        <v>490</v>
      </c>
      <c r="AW246" s="8">
        <v>396</v>
      </c>
      <c r="AX246" s="8">
        <v>887</v>
      </c>
      <c r="AY246" s="8">
        <v>201</v>
      </c>
      <c r="AZ246" s="8">
        <v>158</v>
      </c>
      <c r="BA246" s="8">
        <v>170</v>
      </c>
      <c r="BB246" s="8">
        <v>118</v>
      </c>
      <c r="BC246" s="8">
        <v>140</v>
      </c>
      <c r="BD246" s="8">
        <v>191</v>
      </c>
      <c r="BE246" s="8">
        <v>447</v>
      </c>
      <c r="BF246" s="8">
        <v>457</v>
      </c>
      <c r="BG246" s="8">
        <v>396</v>
      </c>
      <c r="BH246" s="8">
        <v>655</v>
      </c>
      <c r="BI246" s="8">
        <v>461</v>
      </c>
      <c r="BJ246" s="8">
        <v>545</v>
      </c>
      <c r="BK246" s="8">
        <v>633</v>
      </c>
      <c r="BL246" s="8">
        <v>618</v>
      </c>
      <c r="BM246" s="8">
        <v>615</v>
      </c>
      <c r="BN246" s="8">
        <v>811</v>
      </c>
      <c r="BO246" s="8">
        <v>858</v>
      </c>
      <c r="BP246" s="8">
        <v>1178</v>
      </c>
      <c r="BQ246" s="8">
        <v>428</v>
      </c>
      <c r="BR246" s="8">
        <v>255</v>
      </c>
      <c r="BS246" s="8">
        <v>699</v>
      </c>
      <c r="BT246" s="8">
        <v>588</v>
      </c>
      <c r="BU246" s="8">
        <v>409</v>
      </c>
      <c r="BV246" s="8">
        <v>1201</v>
      </c>
      <c r="BW246" s="8">
        <v>43</v>
      </c>
      <c r="BX246" s="8">
        <v>237</v>
      </c>
      <c r="BY246" s="8">
        <v>192</v>
      </c>
      <c r="BZ246" s="8">
        <v>314</v>
      </c>
      <c r="CA246" s="8">
        <v>411</v>
      </c>
      <c r="CB246" s="8">
        <v>140</v>
      </c>
      <c r="CC246" s="8">
        <v>274</v>
      </c>
      <c r="CD246" s="8">
        <v>46</v>
      </c>
      <c r="CE246" s="8">
        <v>78</v>
      </c>
      <c r="CF246" s="8">
        <v>520</v>
      </c>
      <c r="CG246" s="8">
        <v>740</v>
      </c>
      <c r="CH246" s="8">
        <v>792</v>
      </c>
      <c r="CJ246" s="9"/>
      <c r="CK246" s="9"/>
      <c r="CL246" s="9"/>
      <c r="CM246" s="9"/>
      <c r="CN246" s="9"/>
      <c r="CO246" s="9"/>
      <c r="CP246" s="9"/>
      <c r="CQ246" s="9"/>
      <c r="CR246" s="9"/>
      <c r="CS246" s="9"/>
      <c r="CT246" s="9"/>
      <c r="CU246" s="9"/>
      <c r="CV246" s="9"/>
      <c r="CW246" s="9"/>
      <c r="CX246" s="9"/>
      <c r="CY246" s="9"/>
      <c r="CZ246" s="9"/>
      <c r="DA246" s="9"/>
      <c r="DB246" s="9"/>
      <c r="DC246" s="9"/>
      <c r="DD246" s="9"/>
      <c r="DE246" s="9"/>
      <c r="DF246" s="9"/>
      <c r="DG246" s="9"/>
      <c r="DH246" s="9"/>
      <c r="DI246" s="9"/>
      <c r="DJ246" s="9"/>
      <c r="DK246" s="9"/>
      <c r="DL246" s="9"/>
      <c r="DM246" s="9"/>
      <c r="DN246" s="9"/>
      <c r="DO246" s="9"/>
      <c r="DP246" s="9"/>
      <c r="DQ246" s="9"/>
      <c r="DR246" s="9"/>
      <c r="DS246" s="9"/>
      <c r="DT246" s="9"/>
      <c r="DU246" s="9"/>
      <c r="DV246" s="9"/>
      <c r="DW246" s="9"/>
      <c r="DX246" s="9"/>
      <c r="DY246" s="9"/>
      <c r="DZ246" s="9"/>
      <c r="EA246" s="9"/>
      <c r="EB246" s="9"/>
      <c r="EC246" s="9"/>
      <c r="ED246" s="9"/>
      <c r="EE246" s="9"/>
      <c r="EF246" s="9"/>
      <c r="EG246" s="9"/>
      <c r="EH246" s="9"/>
      <c r="EI246" s="9"/>
      <c r="EJ246" s="9"/>
      <c r="EK246" s="9"/>
      <c r="EL246" s="9"/>
      <c r="EM246" s="9"/>
      <c r="EN246" s="9"/>
      <c r="EO246" s="9"/>
      <c r="EP246" s="9"/>
      <c r="EQ246" s="9"/>
      <c r="ER246" s="9"/>
      <c r="ES246" s="9"/>
      <c r="ET246" s="9"/>
      <c r="EU246" s="9"/>
      <c r="EV246" s="9"/>
      <c r="EW246" s="9"/>
      <c r="EX246" s="9"/>
      <c r="EY246" s="9"/>
      <c r="EZ246" s="9"/>
      <c r="FA246" s="9"/>
      <c r="FB246" s="9"/>
      <c r="FC246" s="9"/>
      <c r="FD246" s="9"/>
      <c r="FE246" s="9"/>
      <c r="FF246" s="9"/>
      <c r="FG246" s="9"/>
      <c r="FH246" s="9"/>
      <c r="FI246" s="9"/>
    </row>
    <row r="247" spans="1:165" x14ac:dyDescent="0.2">
      <c r="A247" s="1" t="s">
        <v>768</v>
      </c>
      <c r="B247" s="1" t="s">
        <v>769</v>
      </c>
      <c r="C247" s="1" t="s">
        <v>497</v>
      </c>
      <c r="D247" s="1" t="str">
        <f>HYPERLINK("http://eros.fiehnlab.ucdavis.edu:8080/binbase-compound/bin/show/367907?db=rtx5","367907")</f>
        <v>367907</v>
      </c>
      <c r="E247" s="1" t="s">
        <v>770</v>
      </c>
      <c r="F247" s="1" t="s">
        <v>184</v>
      </c>
      <c r="G247" s="1" t="s">
        <v>184</v>
      </c>
      <c r="H247" s="1"/>
      <c r="I247" s="8">
        <v>211</v>
      </c>
      <c r="J247" s="8">
        <v>211</v>
      </c>
      <c r="K247" s="8">
        <v>176</v>
      </c>
      <c r="L247" s="8">
        <v>221</v>
      </c>
      <c r="M247" s="8">
        <v>199</v>
      </c>
      <c r="N247" s="8">
        <v>157</v>
      </c>
      <c r="O247" s="8">
        <v>91</v>
      </c>
      <c r="P247" s="8">
        <v>240</v>
      </c>
      <c r="Q247" s="8">
        <v>193</v>
      </c>
      <c r="R247" s="8">
        <v>174</v>
      </c>
      <c r="S247" s="8">
        <v>227</v>
      </c>
      <c r="T247" s="8">
        <v>179</v>
      </c>
      <c r="U247" s="8">
        <v>165</v>
      </c>
      <c r="V247" s="8">
        <v>215</v>
      </c>
      <c r="W247" s="8">
        <v>111</v>
      </c>
      <c r="X247" s="8">
        <v>195</v>
      </c>
      <c r="Y247" s="8">
        <v>80</v>
      </c>
      <c r="Z247" s="8">
        <v>158</v>
      </c>
      <c r="AA247" s="8">
        <v>227</v>
      </c>
      <c r="AB247" s="8">
        <v>142</v>
      </c>
      <c r="AC247" s="8">
        <v>188</v>
      </c>
      <c r="AD247" s="8">
        <v>127</v>
      </c>
      <c r="AE247" s="8">
        <v>193</v>
      </c>
      <c r="AF247" s="8">
        <v>121</v>
      </c>
      <c r="AG247" s="8">
        <v>155</v>
      </c>
      <c r="AH247" s="8">
        <v>223</v>
      </c>
      <c r="AI247" s="8">
        <v>142</v>
      </c>
      <c r="AJ247" s="8">
        <v>243</v>
      </c>
      <c r="AK247" s="8">
        <v>198</v>
      </c>
      <c r="AL247" s="8">
        <v>198</v>
      </c>
      <c r="AM247" s="8">
        <v>275</v>
      </c>
      <c r="AN247" s="8">
        <v>64</v>
      </c>
      <c r="AO247" s="8">
        <v>235</v>
      </c>
      <c r="AP247" s="8">
        <v>110</v>
      </c>
      <c r="AQ247" s="8">
        <v>213</v>
      </c>
      <c r="AR247" s="8">
        <v>133</v>
      </c>
      <c r="AS247" s="8">
        <v>145</v>
      </c>
      <c r="AT247" s="8">
        <v>206</v>
      </c>
      <c r="AU247" s="8">
        <v>190</v>
      </c>
      <c r="AV247" s="8">
        <v>234</v>
      </c>
      <c r="AW247" s="8">
        <v>182</v>
      </c>
      <c r="AX247" s="8">
        <v>186</v>
      </c>
      <c r="AY247" s="8">
        <v>196</v>
      </c>
      <c r="AZ247" s="8">
        <v>176</v>
      </c>
      <c r="BA247" s="8">
        <v>121</v>
      </c>
      <c r="BB247" s="8">
        <v>229</v>
      </c>
      <c r="BC247" s="8">
        <v>199</v>
      </c>
      <c r="BD247" s="8">
        <v>198</v>
      </c>
      <c r="BE247" s="8">
        <v>211</v>
      </c>
      <c r="BF247" s="8">
        <v>229</v>
      </c>
      <c r="BG247" s="8">
        <v>153</v>
      </c>
      <c r="BH247" s="8">
        <v>123</v>
      </c>
      <c r="BI247" s="8">
        <v>174</v>
      </c>
      <c r="BJ247" s="8">
        <v>166</v>
      </c>
      <c r="BK247" s="8">
        <v>115</v>
      </c>
      <c r="BL247" s="8">
        <v>191</v>
      </c>
      <c r="BM247" s="8">
        <v>216</v>
      </c>
      <c r="BN247" s="8">
        <v>44</v>
      </c>
      <c r="BO247" s="8">
        <v>220</v>
      </c>
      <c r="BP247" s="8">
        <v>260</v>
      </c>
      <c r="BQ247" s="8">
        <v>264</v>
      </c>
      <c r="BR247" s="8">
        <v>226</v>
      </c>
      <c r="BS247" s="8">
        <v>172</v>
      </c>
      <c r="BT247" s="8">
        <v>182</v>
      </c>
      <c r="BU247" s="8">
        <v>187</v>
      </c>
      <c r="BV247" s="8">
        <v>63</v>
      </c>
      <c r="BW247" s="8">
        <v>158</v>
      </c>
      <c r="BX247" s="8">
        <v>182</v>
      </c>
      <c r="BY247" s="8">
        <v>173</v>
      </c>
      <c r="BZ247" s="8">
        <v>208</v>
      </c>
      <c r="CA247" s="8">
        <v>153</v>
      </c>
      <c r="CB247" s="8">
        <v>217</v>
      </c>
      <c r="CC247" s="8">
        <v>101</v>
      </c>
      <c r="CD247" s="8">
        <v>196</v>
      </c>
      <c r="CE247" s="8">
        <v>87</v>
      </c>
      <c r="CF247" s="8">
        <v>93</v>
      </c>
      <c r="CG247" s="8">
        <v>185</v>
      </c>
      <c r="CH247" s="8">
        <v>64</v>
      </c>
      <c r="CJ247" s="9"/>
      <c r="CK247" s="9"/>
      <c r="CL247" s="9"/>
      <c r="CM247" s="9"/>
      <c r="CN247" s="9"/>
      <c r="CO247" s="9"/>
      <c r="CP247" s="9"/>
      <c r="CQ247" s="9"/>
      <c r="CR247" s="9"/>
      <c r="CS247" s="9"/>
      <c r="CT247" s="9"/>
      <c r="CU247" s="9"/>
      <c r="CV247" s="9"/>
      <c r="CW247" s="9"/>
      <c r="CX247" s="9"/>
      <c r="CY247" s="9"/>
      <c r="CZ247" s="9"/>
      <c r="DA247" s="9"/>
      <c r="DB247" s="9"/>
      <c r="DC247" s="9"/>
      <c r="DD247" s="9"/>
      <c r="DE247" s="9"/>
      <c r="DF247" s="9"/>
      <c r="DG247" s="9"/>
      <c r="DH247" s="9"/>
      <c r="DI247" s="9"/>
      <c r="DJ247" s="9"/>
      <c r="DK247" s="9"/>
      <c r="DL247" s="9"/>
      <c r="DM247" s="9"/>
      <c r="DN247" s="9"/>
      <c r="DO247" s="9"/>
      <c r="DP247" s="9"/>
      <c r="DQ247" s="9"/>
      <c r="DR247" s="9"/>
      <c r="DS247" s="9"/>
      <c r="DT247" s="9"/>
      <c r="DU247" s="9"/>
      <c r="DV247" s="9"/>
      <c r="DW247" s="9"/>
      <c r="DX247" s="9"/>
      <c r="DY247" s="9"/>
      <c r="DZ247" s="9"/>
      <c r="EA247" s="9"/>
      <c r="EB247" s="9"/>
      <c r="EC247" s="9"/>
      <c r="ED247" s="9"/>
      <c r="EE247" s="9"/>
      <c r="EF247" s="9"/>
      <c r="EG247" s="9"/>
      <c r="EH247" s="9"/>
      <c r="EI247" s="9"/>
      <c r="EJ247" s="9"/>
      <c r="EK247" s="9"/>
      <c r="EL247" s="9"/>
      <c r="EM247" s="9"/>
      <c r="EN247" s="9"/>
      <c r="EO247" s="9"/>
      <c r="EP247" s="9"/>
      <c r="EQ247" s="9"/>
      <c r="ER247" s="9"/>
      <c r="ES247" s="9"/>
      <c r="ET247" s="9"/>
      <c r="EU247" s="9"/>
      <c r="EV247" s="9"/>
      <c r="EW247" s="9"/>
      <c r="EX247" s="9"/>
      <c r="EY247" s="9"/>
      <c r="EZ247" s="9"/>
      <c r="FA247" s="9"/>
      <c r="FB247" s="9"/>
      <c r="FC247" s="9"/>
      <c r="FD247" s="9"/>
      <c r="FE247" s="9"/>
      <c r="FF247" s="9"/>
      <c r="FG247" s="9"/>
      <c r="FH247" s="9"/>
      <c r="FI247" s="9"/>
    </row>
    <row r="248" spans="1:165" x14ac:dyDescent="0.2">
      <c r="A248" s="1" t="s">
        <v>1170</v>
      </c>
      <c r="B248" s="1" t="s">
        <v>1171</v>
      </c>
      <c r="C248" s="1" t="s">
        <v>1139</v>
      </c>
      <c r="D248" s="1" t="str">
        <f>HYPERLINK("http://eros.fiehnlab.ucdavis.edu:8080/binbase-compound/bin/show/226281?db=rtx5","226281")</f>
        <v>226281</v>
      </c>
      <c r="E248" s="1" t="s">
        <v>1172</v>
      </c>
      <c r="F248" s="1" t="s">
        <v>184</v>
      </c>
      <c r="G248" s="1" t="s">
        <v>184</v>
      </c>
      <c r="H248" s="1"/>
      <c r="I248" s="8">
        <v>803</v>
      </c>
      <c r="J248" s="8">
        <v>7237</v>
      </c>
      <c r="K248" s="8">
        <v>2039</v>
      </c>
      <c r="L248" s="8">
        <v>1467</v>
      </c>
      <c r="M248" s="8">
        <v>1877</v>
      </c>
      <c r="N248" s="8">
        <v>1057</v>
      </c>
      <c r="O248" s="8">
        <v>570</v>
      </c>
      <c r="P248" s="8">
        <v>835</v>
      </c>
      <c r="Q248" s="8">
        <v>1429</v>
      </c>
      <c r="R248" s="8">
        <v>834</v>
      </c>
      <c r="S248" s="8">
        <v>708</v>
      </c>
      <c r="T248" s="8">
        <v>1230</v>
      </c>
      <c r="U248" s="8">
        <v>1575</v>
      </c>
      <c r="V248" s="8">
        <v>2655</v>
      </c>
      <c r="W248" s="8">
        <v>746</v>
      </c>
      <c r="X248" s="8">
        <v>1548</v>
      </c>
      <c r="Y248" s="8">
        <v>3075</v>
      </c>
      <c r="Z248" s="8">
        <v>734</v>
      </c>
      <c r="AA248" s="8">
        <v>519</v>
      </c>
      <c r="AB248" s="8">
        <v>1123</v>
      </c>
      <c r="AC248" s="8">
        <v>1446</v>
      </c>
      <c r="AD248" s="8">
        <v>1014</v>
      </c>
      <c r="AE248" s="8">
        <v>470</v>
      </c>
      <c r="AF248" s="8">
        <v>939</v>
      </c>
      <c r="AG248" s="8">
        <v>1227</v>
      </c>
      <c r="AH248" s="8">
        <v>700</v>
      </c>
      <c r="AI248" s="8">
        <v>1803</v>
      </c>
      <c r="AJ248" s="8">
        <v>1271</v>
      </c>
      <c r="AK248" s="8">
        <v>522</v>
      </c>
      <c r="AL248" s="8">
        <v>1161</v>
      </c>
      <c r="AM248" s="8">
        <v>2345</v>
      </c>
      <c r="AN248" s="8">
        <v>3996</v>
      </c>
      <c r="AO248" s="8">
        <v>1087</v>
      </c>
      <c r="AP248" s="8">
        <v>816</v>
      </c>
      <c r="AQ248" s="8">
        <v>848</v>
      </c>
      <c r="AR248" s="8">
        <v>610</v>
      </c>
      <c r="AS248" s="8">
        <v>828</v>
      </c>
      <c r="AT248" s="8">
        <v>885</v>
      </c>
      <c r="AU248" s="8">
        <v>981</v>
      </c>
      <c r="AV248" s="8">
        <v>1267</v>
      </c>
      <c r="AW248" s="8">
        <v>901</v>
      </c>
      <c r="AX248" s="8">
        <v>1044</v>
      </c>
      <c r="AY248" s="8">
        <v>1323</v>
      </c>
      <c r="AZ248" s="8">
        <v>821</v>
      </c>
      <c r="BA248" s="8">
        <v>827</v>
      </c>
      <c r="BB248" s="8">
        <v>3486</v>
      </c>
      <c r="BC248" s="8">
        <v>1015</v>
      </c>
      <c r="BD248" s="8">
        <v>1661</v>
      </c>
      <c r="BE248" s="8">
        <v>759</v>
      </c>
      <c r="BF248" s="8">
        <v>638</v>
      </c>
      <c r="BG248" s="8">
        <v>11706</v>
      </c>
      <c r="BH248" s="8">
        <v>2049</v>
      </c>
      <c r="BI248" s="8">
        <v>471</v>
      </c>
      <c r="BJ248" s="8">
        <v>1131</v>
      </c>
      <c r="BK248" s="8">
        <v>1653</v>
      </c>
      <c r="BL248" s="8">
        <v>1180</v>
      </c>
      <c r="BM248" s="8">
        <v>2324</v>
      </c>
      <c r="BN248" s="8">
        <v>959</v>
      </c>
      <c r="BO248" s="8">
        <v>972</v>
      </c>
      <c r="BP248" s="8">
        <v>1465</v>
      </c>
      <c r="BQ248" s="8">
        <v>1412</v>
      </c>
      <c r="BR248" s="8">
        <v>1737</v>
      </c>
      <c r="BS248" s="8">
        <v>1772</v>
      </c>
      <c r="BT248" s="8">
        <v>973</v>
      </c>
      <c r="BU248" s="8">
        <v>3277</v>
      </c>
      <c r="BV248" s="8">
        <v>4693</v>
      </c>
      <c r="BW248" s="8">
        <v>1573</v>
      </c>
      <c r="BX248" s="8">
        <v>1185</v>
      </c>
      <c r="BY248" s="8">
        <v>1003</v>
      </c>
      <c r="BZ248" s="8">
        <v>2403</v>
      </c>
      <c r="CA248" s="8">
        <v>793</v>
      </c>
      <c r="CB248" s="8">
        <v>992</v>
      </c>
      <c r="CC248" s="8">
        <v>761</v>
      </c>
      <c r="CD248" s="8">
        <v>1552</v>
      </c>
      <c r="CE248" s="8">
        <v>1106</v>
      </c>
      <c r="CF248" s="8">
        <v>990</v>
      </c>
      <c r="CG248" s="8">
        <v>678</v>
      </c>
      <c r="CH248" s="8">
        <v>2634</v>
      </c>
      <c r="CJ248" s="9"/>
      <c r="CK248" s="9"/>
      <c r="CL248" s="9"/>
      <c r="CM248" s="9"/>
      <c r="CN248" s="9"/>
      <c r="CO248" s="9"/>
      <c r="CP248" s="9"/>
      <c r="CQ248" s="9"/>
      <c r="CR248" s="9"/>
      <c r="CS248" s="9"/>
      <c r="CT248" s="9"/>
      <c r="CU248" s="9"/>
      <c r="CV248" s="9"/>
      <c r="CW248" s="9"/>
      <c r="CX248" s="9"/>
      <c r="CY248" s="9"/>
      <c r="CZ248" s="9"/>
      <c r="DA248" s="9"/>
      <c r="DB248" s="9"/>
      <c r="DC248" s="9"/>
      <c r="DD248" s="9"/>
      <c r="DE248" s="9"/>
      <c r="DF248" s="9"/>
      <c r="DG248" s="9"/>
      <c r="DH248" s="9"/>
      <c r="DI248" s="9"/>
      <c r="DJ248" s="9"/>
      <c r="DK248" s="9"/>
      <c r="DL248" s="9"/>
      <c r="DM248" s="9"/>
      <c r="DN248" s="9"/>
      <c r="DO248" s="9"/>
      <c r="DP248" s="9"/>
      <c r="DQ248" s="9"/>
      <c r="DR248" s="9"/>
      <c r="DS248" s="9"/>
      <c r="DT248" s="9"/>
      <c r="DU248" s="9"/>
      <c r="DV248" s="9"/>
      <c r="DW248" s="9"/>
      <c r="DX248" s="9"/>
      <c r="DY248" s="9"/>
      <c r="DZ248" s="9"/>
      <c r="EA248" s="9"/>
      <c r="EB248" s="9"/>
      <c r="EC248" s="9"/>
      <c r="ED248" s="9"/>
      <c r="EE248" s="9"/>
      <c r="EF248" s="9"/>
      <c r="EG248" s="9"/>
      <c r="EH248" s="9"/>
      <c r="EI248" s="9"/>
      <c r="EJ248" s="9"/>
      <c r="EK248" s="9"/>
      <c r="EL248" s="9"/>
      <c r="EM248" s="9"/>
      <c r="EN248" s="9"/>
      <c r="EO248" s="9"/>
      <c r="EP248" s="9"/>
      <c r="EQ248" s="9"/>
      <c r="ER248" s="9"/>
      <c r="ES248" s="9"/>
      <c r="ET248" s="9"/>
      <c r="EU248" s="9"/>
      <c r="EV248" s="9"/>
      <c r="EW248" s="9"/>
      <c r="EX248" s="9"/>
      <c r="EY248" s="9"/>
      <c r="EZ248" s="9"/>
      <c r="FA248" s="9"/>
      <c r="FB248" s="9"/>
      <c r="FC248" s="9"/>
      <c r="FD248" s="9"/>
      <c r="FE248" s="9"/>
      <c r="FF248" s="9"/>
      <c r="FG248" s="9"/>
      <c r="FH248" s="9"/>
      <c r="FI248" s="9"/>
    </row>
    <row r="249" spans="1:165" x14ac:dyDescent="0.2">
      <c r="A249" s="1" t="s">
        <v>1376</v>
      </c>
      <c r="B249" s="1" t="s">
        <v>1377</v>
      </c>
      <c r="C249" s="1" t="s">
        <v>1378</v>
      </c>
      <c r="D249" s="1" t="str">
        <f>HYPERLINK("http://eros.fiehnlab.ucdavis.edu:8080/binbase-compound/bin/show/200624?db=rtx5","200624")</f>
        <v>200624</v>
      </c>
      <c r="E249" s="1" t="s">
        <v>1379</v>
      </c>
      <c r="F249" s="1" t="s">
        <v>184</v>
      </c>
      <c r="G249" s="1" t="s">
        <v>184</v>
      </c>
      <c r="H249" s="1"/>
      <c r="I249" s="8">
        <v>214</v>
      </c>
      <c r="J249" s="8">
        <v>223</v>
      </c>
      <c r="K249" s="8">
        <v>153</v>
      </c>
      <c r="L249" s="8">
        <v>287</v>
      </c>
      <c r="M249" s="8">
        <v>329</v>
      </c>
      <c r="N249" s="8">
        <v>330</v>
      </c>
      <c r="O249" s="8">
        <v>237</v>
      </c>
      <c r="P249" s="8">
        <v>269</v>
      </c>
      <c r="Q249" s="8">
        <v>395</v>
      </c>
      <c r="R249" s="8">
        <v>351</v>
      </c>
      <c r="S249" s="8">
        <v>269</v>
      </c>
      <c r="T249" s="8">
        <v>338</v>
      </c>
      <c r="U249" s="8">
        <v>211</v>
      </c>
      <c r="V249" s="8">
        <v>268</v>
      </c>
      <c r="W249" s="8">
        <v>221</v>
      </c>
      <c r="X249" s="8">
        <v>257</v>
      </c>
      <c r="Y249" s="8">
        <v>206</v>
      </c>
      <c r="Z249" s="8">
        <v>153</v>
      </c>
      <c r="AA249" s="8">
        <v>88</v>
      </c>
      <c r="AB249" s="8">
        <v>242</v>
      </c>
      <c r="AC249" s="8">
        <v>258</v>
      </c>
      <c r="AD249" s="8">
        <v>232</v>
      </c>
      <c r="AE249" s="8">
        <v>219</v>
      </c>
      <c r="AF249" s="8">
        <v>177</v>
      </c>
      <c r="AG249" s="8">
        <v>124</v>
      </c>
      <c r="AH249" s="8">
        <v>237</v>
      </c>
      <c r="AI249" s="8">
        <v>236</v>
      </c>
      <c r="AJ249" s="8">
        <v>215</v>
      </c>
      <c r="AK249" s="8">
        <v>146</v>
      </c>
      <c r="AL249" s="8">
        <v>267</v>
      </c>
      <c r="AM249" s="8">
        <v>210</v>
      </c>
      <c r="AN249" s="8">
        <v>224</v>
      </c>
      <c r="AO249" s="8">
        <v>284</v>
      </c>
      <c r="AP249" s="8">
        <v>345</v>
      </c>
      <c r="AQ249" s="8">
        <v>201</v>
      </c>
      <c r="AR249" s="8">
        <v>252</v>
      </c>
      <c r="AS249" s="8">
        <v>161</v>
      </c>
      <c r="AT249" s="8">
        <v>232</v>
      </c>
      <c r="AU249" s="8">
        <v>182</v>
      </c>
      <c r="AV249" s="8">
        <v>185</v>
      </c>
      <c r="AW249" s="8">
        <v>258</v>
      </c>
      <c r="AX249" s="8">
        <v>247</v>
      </c>
      <c r="AY249" s="8">
        <v>331</v>
      </c>
      <c r="AZ249" s="8">
        <v>335</v>
      </c>
      <c r="BA249" s="8">
        <v>335</v>
      </c>
      <c r="BB249" s="8">
        <v>267</v>
      </c>
      <c r="BC249" s="8">
        <v>259</v>
      </c>
      <c r="BD249" s="8">
        <v>391</v>
      </c>
      <c r="BE249" s="8">
        <v>137</v>
      </c>
      <c r="BF249" s="8">
        <v>247</v>
      </c>
      <c r="BG249" s="8">
        <v>201</v>
      </c>
      <c r="BH249" s="8">
        <v>287</v>
      </c>
      <c r="BI249" s="8">
        <v>260</v>
      </c>
      <c r="BJ249" s="8">
        <v>230</v>
      </c>
      <c r="BK249" s="8">
        <v>181</v>
      </c>
      <c r="BL249" s="8">
        <v>269</v>
      </c>
      <c r="BM249" s="8">
        <v>350</v>
      </c>
      <c r="BN249" s="8">
        <v>161</v>
      </c>
      <c r="BO249" s="8">
        <v>304</v>
      </c>
      <c r="BP249" s="8">
        <v>356</v>
      </c>
      <c r="BQ249" s="8">
        <v>201</v>
      </c>
      <c r="BR249" s="8">
        <v>154</v>
      </c>
      <c r="BS249" s="8">
        <v>177</v>
      </c>
      <c r="BT249" s="8">
        <v>304</v>
      </c>
      <c r="BU249" s="8">
        <v>204</v>
      </c>
      <c r="BV249" s="8">
        <v>260</v>
      </c>
      <c r="BW249" s="8">
        <v>186</v>
      </c>
      <c r="BX249" s="8">
        <v>184</v>
      </c>
      <c r="BY249" s="8">
        <v>190</v>
      </c>
      <c r="BZ249" s="8">
        <v>190</v>
      </c>
      <c r="CA249" s="8">
        <v>283</v>
      </c>
      <c r="CB249" s="8">
        <v>238</v>
      </c>
      <c r="CC249" s="8">
        <v>183</v>
      </c>
      <c r="CD249" s="8">
        <v>179</v>
      </c>
      <c r="CE249" s="8">
        <v>206</v>
      </c>
      <c r="CF249" s="8">
        <v>121</v>
      </c>
      <c r="CG249" s="8">
        <v>234</v>
      </c>
      <c r="CH249" s="8">
        <v>213</v>
      </c>
      <c r="CJ249" s="9"/>
      <c r="CK249" s="9"/>
      <c r="CL249" s="9"/>
      <c r="CM249" s="9"/>
      <c r="CN249" s="9"/>
      <c r="CO249" s="9"/>
      <c r="CP249" s="9"/>
      <c r="CQ249" s="9"/>
      <c r="CR249" s="9"/>
      <c r="CS249" s="9"/>
      <c r="CT249" s="9"/>
      <c r="CU249" s="9"/>
      <c r="CV249" s="9"/>
      <c r="CW249" s="9"/>
      <c r="CX249" s="9"/>
      <c r="CY249" s="9"/>
      <c r="CZ249" s="9"/>
      <c r="DA249" s="9"/>
      <c r="DB249" s="9"/>
      <c r="DC249" s="9"/>
      <c r="DD249" s="9"/>
      <c r="DE249" s="9"/>
      <c r="DF249" s="9"/>
      <c r="DG249" s="9"/>
      <c r="DH249" s="9"/>
      <c r="DI249" s="9"/>
      <c r="DJ249" s="9"/>
      <c r="DK249" s="9"/>
      <c r="DL249" s="9"/>
      <c r="DM249" s="9"/>
      <c r="DN249" s="9"/>
      <c r="DO249" s="9"/>
      <c r="DP249" s="9"/>
      <c r="DQ249" s="9"/>
      <c r="DR249" s="9"/>
      <c r="DS249" s="9"/>
      <c r="DT249" s="9"/>
      <c r="DU249" s="9"/>
      <c r="DV249" s="9"/>
      <c r="DW249" s="9"/>
      <c r="DX249" s="9"/>
      <c r="DY249" s="9"/>
      <c r="DZ249" s="9"/>
      <c r="EA249" s="9"/>
      <c r="EB249" s="9"/>
      <c r="EC249" s="9"/>
      <c r="ED249" s="9"/>
      <c r="EE249" s="9"/>
      <c r="EF249" s="9"/>
      <c r="EG249" s="9"/>
      <c r="EH249" s="9"/>
      <c r="EI249" s="9"/>
      <c r="EJ249" s="9"/>
      <c r="EK249" s="9"/>
      <c r="EL249" s="9"/>
      <c r="EM249" s="9"/>
      <c r="EN249" s="9"/>
      <c r="EO249" s="9"/>
      <c r="EP249" s="9"/>
      <c r="EQ249" s="9"/>
      <c r="ER249" s="9"/>
      <c r="ES249" s="9"/>
      <c r="ET249" s="9"/>
      <c r="EU249" s="9"/>
      <c r="EV249" s="9"/>
      <c r="EW249" s="9"/>
      <c r="EX249" s="9"/>
      <c r="EY249" s="9"/>
      <c r="EZ249" s="9"/>
      <c r="FA249" s="9"/>
      <c r="FB249" s="9"/>
      <c r="FC249" s="9"/>
      <c r="FD249" s="9"/>
      <c r="FE249" s="9"/>
      <c r="FF249" s="9"/>
      <c r="FG249" s="9"/>
      <c r="FH249" s="9"/>
      <c r="FI249" s="9"/>
    </row>
    <row r="250" spans="1:165" x14ac:dyDescent="0.2">
      <c r="A250" s="1" t="s">
        <v>888</v>
      </c>
      <c r="B250" s="1" t="s">
        <v>889</v>
      </c>
      <c r="C250" s="1" t="s">
        <v>719</v>
      </c>
      <c r="D250" s="1" t="str">
        <f>HYPERLINK("http://eros.fiehnlab.ucdavis.edu:8080/binbase-compound/bin/show/301584?db=rtx5","301584")</f>
        <v>301584</v>
      </c>
      <c r="E250" s="1" t="s">
        <v>890</v>
      </c>
      <c r="F250" s="1" t="s">
        <v>184</v>
      </c>
      <c r="G250" s="1" t="s">
        <v>184</v>
      </c>
      <c r="H250" s="1"/>
      <c r="I250" s="8">
        <v>1094</v>
      </c>
      <c r="J250" s="8">
        <v>1503</v>
      </c>
      <c r="K250" s="8">
        <v>695</v>
      </c>
      <c r="L250" s="8">
        <v>178</v>
      </c>
      <c r="M250" s="8">
        <v>623</v>
      </c>
      <c r="N250" s="8">
        <v>1058</v>
      </c>
      <c r="O250" s="8">
        <v>237</v>
      </c>
      <c r="P250" s="8">
        <v>841</v>
      </c>
      <c r="Q250" s="8">
        <v>535</v>
      </c>
      <c r="R250" s="8">
        <v>475</v>
      </c>
      <c r="S250" s="8">
        <v>758</v>
      </c>
      <c r="T250" s="8">
        <v>754</v>
      </c>
      <c r="U250" s="8">
        <v>846</v>
      </c>
      <c r="V250" s="8">
        <v>1057</v>
      </c>
      <c r="W250" s="8">
        <v>886</v>
      </c>
      <c r="X250" s="8">
        <v>919</v>
      </c>
      <c r="Y250" s="8">
        <v>980</v>
      </c>
      <c r="Z250" s="8">
        <v>652</v>
      </c>
      <c r="AA250" s="8">
        <v>480</v>
      </c>
      <c r="AB250" s="8">
        <v>1118</v>
      </c>
      <c r="AC250" s="8">
        <v>164</v>
      </c>
      <c r="AD250" s="8">
        <v>786</v>
      </c>
      <c r="AE250" s="8">
        <v>161</v>
      </c>
      <c r="AF250" s="8">
        <v>870</v>
      </c>
      <c r="AG250" s="8">
        <v>285</v>
      </c>
      <c r="AH250" s="8">
        <v>237</v>
      </c>
      <c r="AI250" s="8">
        <v>534</v>
      </c>
      <c r="AJ250" s="8">
        <v>3164</v>
      </c>
      <c r="AK250" s="8">
        <v>606</v>
      </c>
      <c r="AL250" s="8">
        <v>454</v>
      </c>
      <c r="AM250" s="8">
        <v>431</v>
      </c>
      <c r="AN250" s="8">
        <v>800</v>
      </c>
      <c r="AO250" s="8">
        <v>728</v>
      </c>
      <c r="AP250" s="8">
        <v>1396</v>
      </c>
      <c r="AQ250" s="8">
        <v>774</v>
      </c>
      <c r="AR250" s="8">
        <v>948</v>
      </c>
      <c r="AS250" s="8">
        <v>266</v>
      </c>
      <c r="AT250" s="8">
        <v>612</v>
      </c>
      <c r="AU250" s="8">
        <v>794</v>
      </c>
      <c r="AV250" s="8">
        <v>1086</v>
      </c>
      <c r="AW250" s="8">
        <v>667</v>
      </c>
      <c r="AX250" s="8">
        <v>813</v>
      </c>
      <c r="AY250" s="8">
        <v>609</v>
      </c>
      <c r="AZ250" s="8">
        <v>953</v>
      </c>
      <c r="BA250" s="8">
        <v>978</v>
      </c>
      <c r="BB250" s="8">
        <v>1307</v>
      </c>
      <c r="BC250" s="8">
        <v>1105</v>
      </c>
      <c r="BD250" s="8">
        <v>751</v>
      </c>
      <c r="BE250" s="8">
        <v>244</v>
      </c>
      <c r="BF250" s="8">
        <v>659</v>
      </c>
      <c r="BG250" s="8">
        <v>376</v>
      </c>
      <c r="BH250" s="8">
        <v>6718</v>
      </c>
      <c r="BI250" s="8">
        <v>426</v>
      </c>
      <c r="BJ250" s="8">
        <v>653</v>
      </c>
      <c r="BK250" s="8">
        <v>902</v>
      </c>
      <c r="BL250" s="8">
        <v>1103</v>
      </c>
      <c r="BM250" s="8">
        <v>213</v>
      </c>
      <c r="BN250" s="8">
        <v>663</v>
      </c>
      <c r="BO250" s="8">
        <v>1130</v>
      </c>
      <c r="BP250" s="8">
        <v>1115</v>
      </c>
      <c r="BQ250" s="8">
        <v>1217</v>
      </c>
      <c r="BR250" s="8">
        <v>1272</v>
      </c>
      <c r="BS250" s="8">
        <v>1340</v>
      </c>
      <c r="BT250" s="8">
        <v>580</v>
      </c>
      <c r="BU250" s="8">
        <v>615</v>
      </c>
      <c r="BV250" s="8">
        <v>694</v>
      </c>
      <c r="BW250" s="8">
        <v>274</v>
      </c>
      <c r="BX250" s="8">
        <v>687</v>
      </c>
      <c r="BY250" s="8">
        <v>1012</v>
      </c>
      <c r="BZ250" s="8">
        <v>1381</v>
      </c>
      <c r="CA250" s="8">
        <v>949</v>
      </c>
      <c r="CB250" s="8">
        <v>719</v>
      </c>
      <c r="CC250" s="8">
        <v>968</v>
      </c>
      <c r="CD250" s="8">
        <v>505</v>
      </c>
      <c r="CE250" s="8">
        <v>193</v>
      </c>
      <c r="CF250" s="8">
        <v>369</v>
      </c>
      <c r="CG250" s="8">
        <v>1254</v>
      </c>
      <c r="CH250" s="8">
        <v>558</v>
      </c>
      <c r="CJ250" s="9"/>
      <c r="CK250" s="9"/>
      <c r="CL250" s="9"/>
      <c r="CM250" s="9"/>
      <c r="CN250" s="9"/>
      <c r="CO250" s="9"/>
      <c r="CP250" s="9"/>
      <c r="CQ250" s="9"/>
      <c r="CR250" s="9"/>
      <c r="CS250" s="9"/>
      <c r="CT250" s="9"/>
      <c r="CU250" s="9"/>
      <c r="CV250" s="9"/>
      <c r="CW250" s="9"/>
      <c r="CX250" s="9"/>
      <c r="CY250" s="9"/>
      <c r="CZ250" s="9"/>
      <c r="DA250" s="9"/>
      <c r="DB250" s="9"/>
      <c r="DC250" s="9"/>
      <c r="DD250" s="9"/>
      <c r="DE250" s="9"/>
      <c r="DF250" s="9"/>
      <c r="DG250" s="9"/>
      <c r="DH250" s="9"/>
      <c r="DI250" s="9"/>
      <c r="DJ250" s="9"/>
      <c r="DK250" s="9"/>
      <c r="DL250" s="9"/>
      <c r="DM250" s="9"/>
      <c r="DN250" s="9"/>
      <c r="DO250" s="9"/>
      <c r="DP250" s="9"/>
      <c r="DQ250" s="9"/>
      <c r="DR250" s="9"/>
      <c r="DS250" s="9"/>
      <c r="DT250" s="9"/>
      <c r="DU250" s="9"/>
      <c r="DV250" s="9"/>
      <c r="DW250" s="9"/>
      <c r="DX250" s="9"/>
      <c r="DY250" s="9"/>
      <c r="DZ250" s="9"/>
      <c r="EA250" s="9"/>
      <c r="EB250" s="9"/>
      <c r="EC250" s="9"/>
      <c r="ED250" s="9"/>
      <c r="EE250" s="9"/>
      <c r="EF250" s="9"/>
      <c r="EG250" s="9"/>
      <c r="EH250" s="9"/>
      <c r="EI250" s="9"/>
      <c r="EJ250" s="9"/>
      <c r="EK250" s="9"/>
      <c r="EL250" s="9"/>
      <c r="EM250" s="9"/>
      <c r="EN250" s="9"/>
      <c r="EO250" s="9"/>
      <c r="EP250" s="9"/>
      <c r="EQ250" s="9"/>
      <c r="ER250" s="9"/>
      <c r="ES250" s="9"/>
      <c r="ET250" s="9"/>
      <c r="EU250" s="9"/>
      <c r="EV250" s="9"/>
      <c r="EW250" s="9"/>
      <c r="EX250" s="9"/>
      <c r="EY250" s="9"/>
      <c r="EZ250" s="9"/>
      <c r="FA250" s="9"/>
      <c r="FB250" s="9"/>
      <c r="FC250" s="9"/>
      <c r="FD250" s="9"/>
      <c r="FE250" s="9"/>
      <c r="FF250" s="9"/>
      <c r="FG250" s="9"/>
      <c r="FH250" s="9"/>
      <c r="FI250" s="9"/>
    </row>
    <row r="251" spans="1:165" x14ac:dyDescent="0.2">
      <c r="A251" s="1" t="s">
        <v>1057</v>
      </c>
      <c r="B251" s="1" t="s">
        <v>1058</v>
      </c>
      <c r="C251" s="1" t="s">
        <v>1059</v>
      </c>
      <c r="D251" s="1" t="str">
        <f>HYPERLINK("http://eros.fiehnlab.ucdavis.edu:8080/binbase-compound/bin/show/241881?db=rtx5","241881")</f>
        <v>241881</v>
      </c>
      <c r="E251" s="1" t="s">
        <v>1060</v>
      </c>
      <c r="F251" s="1" t="s">
        <v>184</v>
      </c>
      <c r="G251" s="1" t="s">
        <v>184</v>
      </c>
      <c r="H251" s="1"/>
      <c r="I251" s="8">
        <v>239</v>
      </c>
      <c r="J251" s="8">
        <v>348</v>
      </c>
      <c r="K251" s="8">
        <v>330</v>
      </c>
      <c r="L251" s="8">
        <v>264</v>
      </c>
      <c r="M251" s="8">
        <v>239</v>
      </c>
      <c r="N251" s="8">
        <v>43</v>
      </c>
      <c r="O251" s="8">
        <v>220</v>
      </c>
      <c r="P251" s="8">
        <v>282</v>
      </c>
      <c r="Q251" s="8">
        <v>244</v>
      </c>
      <c r="R251" s="8">
        <v>259</v>
      </c>
      <c r="S251" s="8">
        <v>329</v>
      </c>
      <c r="T251" s="8">
        <v>287</v>
      </c>
      <c r="U251" s="8">
        <v>96</v>
      </c>
      <c r="V251" s="8">
        <v>263</v>
      </c>
      <c r="W251" s="8">
        <v>67</v>
      </c>
      <c r="X251" s="8">
        <v>166</v>
      </c>
      <c r="Y251" s="8">
        <v>29</v>
      </c>
      <c r="Z251" s="8">
        <v>185</v>
      </c>
      <c r="AA251" s="8">
        <v>6</v>
      </c>
      <c r="AB251" s="8">
        <v>237</v>
      </c>
      <c r="AC251" s="8">
        <v>269</v>
      </c>
      <c r="AD251" s="8">
        <v>244</v>
      </c>
      <c r="AE251" s="8">
        <v>146</v>
      </c>
      <c r="AF251" s="8">
        <v>174</v>
      </c>
      <c r="AG251" s="8">
        <v>195</v>
      </c>
      <c r="AH251" s="8">
        <v>192</v>
      </c>
      <c r="AI251" s="8">
        <v>258</v>
      </c>
      <c r="AJ251" s="8">
        <v>378</v>
      </c>
      <c r="AK251" s="8">
        <v>194</v>
      </c>
      <c r="AL251" s="8">
        <v>252</v>
      </c>
      <c r="AM251" s="8">
        <v>321</v>
      </c>
      <c r="AN251" s="8">
        <v>382</v>
      </c>
      <c r="AO251" s="8">
        <v>280</v>
      </c>
      <c r="AP251" s="8">
        <v>72</v>
      </c>
      <c r="AQ251" s="8">
        <v>183</v>
      </c>
      <c r="AR251" s="8">
        <v>175</v>
      </c>
      <c r="AS251" s="8">
        <v>297</v>
      </c>
      <c r="AT251" s="8">
        <v>234</v>
      </c>
      <c r="AU251" s="8">
        <v>240</v>
      </c>
      <c r="AV251" s="8">
        <v>242</v>
      </c>
      <c r="AW251" s="8">
        <v>385</v>
      </c>
      <c r="AX251" s="8">
        <v>228</v>
      </c>
      <c r="AY251" s="8">
        <v>85</v>
      </c>
      <c r="AZ251" s="8">
        <v>321</v>
      </c>
      <c r="BA251" s="8">
        <v>197</v>
      </c>
      <c r="BB251" s="8">
        <v>276</v>
      </c>
      <c r="BC251" s="8">
        <v>283</v>
      </c>
      <c r="BD251" s="8">
        <v>263</v>
      </c>
      <c r="BE251" s="8">
        <v>117</v>
      </c>
      <c r="BF251" s="8">
        <v>30</v>
      </c>
      <c r="BG251" s="8">
        <v>281</v>
      </c>
      <c r="BH251" s="8">
        <v>222</v>
      </c>
      <c r="BI251" s="8">
        <v>41</v>
      </c>
      <c r="BJ251" s="8">
        <v>167</v>
      </c>
      <c r="BK251" s="8">
        <v>267</v>
      </c>
      <c r="BL251" s="8">
        <v>324</v>
      </c>
      <c r="BM251" s="8">
        <v>306</v>
      </c>
      <c r="BN251" s="8">
        <v>208</v>
      </c>
      <c r="BO251" s="8">
        <v>395</v>
      </c>
      <c r="BP251" s="8">
        <v>339</v>
      </c>
      <c r="BQ251" s="8">
        <v>267</v>
      </c>
      <c r="BR251" s="8">
        <v>188</v>
      </c>
      <c r="BS251" s="8">
        <v>212</v>
      </c>
      <c r="BT251" s="8">
        <v>192</v>
      </c>
      <c r="BU251" s="8">
        <v>196</v>
      </c>
      <c r="BV251" s="8">
        <v>278</v>
      </c>
      <c r="BW251" s="8">
        <v>199</v>
      </c>
      <c r="BX251" s="8">
        <v>53</v>
      </c>
      <c r="BY251" s="8">
        <v>228</v>
      </c>
      <c r="BZ251" s="8">
        <v>258</v>
      </c>
      <c r="CA251" s="8">
        <v>165</v>
      </c>
      <c r="CB251" s="8">
        <v>158</v>
      </c>
      <c r="CC251" s="8">
        <v>183</v>
      </c>
      <c r="CD251" s="8">
        <v>65</v>
      </c>
      <c r="CE251" s="8">
        <v>51</v>
      </c>
      <c r="CF251" s="8">
        <v>211</v>
      </c>
      <c r="CG251" s="8">
        <v>275</v>
      </c>
      <c r="CH251" s="8">
        <v>77</v>
      </c>
      <c r="CJ251" s="9"/>
      <c r="CK251" s="9"/>
      <c r="CL251" s="9"/>
      <c r="CM251" s="9"/>
      <c r="CN251" s="9"/>
      <c r="CO251" s="9"/>
      <c r="CP251" s="9"/>
      <c r="CQ251" s="9"/>
      <c r="CR251" s="9"/>
      <c r="CS251" s="9"/>
      <c r="CT251" s="9"/>
      <c r="CU251" s="9"/>
      <c r="CV251" s="9"/>
      <c r="CW251" s="9"/>
      <c r="CX251" s="9"/>
      <c r="CY251" s="9"/>
      <c r="CZ251" s="9"/>
      <c r="DA251" s="9"/>
      <c r="DB251" s="9"/>
      <c r="DC251" s="9"/>
      <c r="DD251" s="9"/>
      <c r="DE251" s="9"/>
      <c r="DF251" s="9"/>
      <c r="DG251" s="9"/>
      <c r="DH251" s="9"/>
      <c r="DI251" s="9"/>
      <c r="DJ251" s="9"/>
      <c r="DK251" s="9"/>
      <c r="DL251" s="9"/>
      <c r="DM251" s="9"/>
      <c r="DN251" s="9"/>
      <c r="DO251" s="9"/>
      <c r="DP251" s="9"/>
      <c r="DQ251" s="9"/>
      <c r="DR251" s="9"/>
      <c r="DS251" s="9"/>
      <c r="DT251" s="9"/>
      <c r="DU251" s="9"/>
      <c r="DV251" s="9"/>
      <c r="DW251" s="9"/>
      <c r="DX251" s="9"/>
      <c r="DY251" s="9"/>
      <c r="DZ251" s="9"/>
      <c r="EA251" s="9"/>
      <c r="EB251" s="9"/>
      <c r="EC251" s="9"/>
      <c r="ED251" s="9"/>
      <c r="EE251" s="9"/>
      <c r="EF251" s="9"/>
      <c r="EG251" s="9"/>
      <c r="EH251" s="9"/>
      <c r="EI251" s="9"/>
      <c r="EJ251" s="9"/>
      <c r="EK251" s="9"/>
      <c r="EL251" s="9"/>
      <c r="EM251" s="9"/>
      <c r="EN251" s="9"/>
      <c r="EO251" s="9"/>
      <c r="EP251" s="9"/>
      <c r="EQ251" s="9"/>
      <c r="ER251" s="9"/>
      <c r="ES251" s="9"/>
      <c r="ET251" s="9"/>
      <c r="EU251" s="9"/>
      <c r="EV251" s="9"/>
      <c r="EW251" s="9"/>
      <c r="EX251" s="9"/>
      <c r="EY251" s="9"/>
      <c r="EZ251" s="9"/>
      <c r="FA251" s="9"/>
      <c r="FB251" s="9"/>
      <c r="FC251" s="9"/>
      <c r="FD251" s="9"/>
      <c r="FE251" s="9"/>
      <c r="FF251" s="9"/>
      <c r="FG251" s="9"/>
      <c r="FH251" s="9"/>
      <c r="FI251" s="9"/>
    </row>
    <row r="252" spans="1:165" x14ac:dyDescent="0.2">
      <c r="A252" s="1" t="s">
        <v>1257</v>
      </c>
      <c r="B252" s="1" t="s">
        <v>1258</v>
      </c>
      <c r="C252" s="1" t="s">
        <v>712</v>
      </c>
      <c r="D252" s="1" t="str">
        <f>HYPERLINK("http://eros.fiehnlab.ucdavis.edu:8080/binbase-compound/bin/show/217797?db=rtx5","217797")</f>
        <v>217797</v>
      </c>
      <c r="E252" s="1" t="s">
        <v>1259</v>
      </c>
      <c r="F252" s="1" t="s">
        <v>184</v>
      </c>
      <c r="G252" s="1" t="s">
        <v>184</v>
      </c>
      <c r="H252" s="1"/>
      <c r="I252" s="8">
        <v>311</v>
      </c>
      <c r="J252" s="8">
        <v>351</v>
      </c>
      <c r="K252" s="8">
        <v>336</v>
      </c>
      <c r="L252" s="8">
        <v>278</v>
      </c>
      <c r="M252" s="8">
        <v>246</v>
      </c>
      <c r="N252" s="8">
        <v>253</v>
      </c>
      <c r="O252" s="8">
        <v>229</v>
      </c>
      <c r="P252" s="8">
        <v>191</v>
      </c>
      <c r="Q252" s="8">
        <v>192</v>
      </c>
      <c r="R252" s="8">
        <v>188</v>
      </c>
      <c r="S252" s="8">
        <v>41</v>
      </c>
      <c r="T252" s="8">
        <v>145</v>
      </c>
      <c r="U252" s="8">
        <v>194</v>
      </c>
      <c r="V252" s="8">
        <v>78</v>
      </c>
      <c r="W252" s="8">
        <v>274</v>
      </c>
      <c r="X252" s="8">
        <v>107</v>
      </c>
      <c r="Y252" s="8">
        <v>231</v>
      </c>
      <c r="Z252" s="8">
        <v>59</v>
      </c>
      <c r="AA252" s="8">
        <v>452</v>
      </c>
      <c r="AB252" s="8">
        <v>88</v>
      </c>
      <c r="AC252" s="8">
        <v>119</v>
      </c>
      <c r="AD252" s="8">
        <v>84</v>
      </c>
      <c r="AE252" s="8">
        <v>186</v>
      </c>
      <c r="AF252" s="8">
        <v>337</v>
      </c>
      <c r="AG252" s="8">
        <v>135</v>
      </c>
      <c r="AH252" s="8">
        <v>127</v>
      </c>
      <c r="AI252" s="8">
        <v>110</v>
      </c>
      <c r="AJ252" s="8">
        <v>149</v>
      </c>
      <c r="AK252" s="8">
        <v>126</v>
      </c>
      <c r="AL252" s="8">
        <v>162</v>
      </c>
      <c r="AM252" s="8">
        <v>171</v>
      </c>
      <c r="AN252" s="8">
        <v>143</v>
      </c>
      <c r="AO252" s="8">
        <v>118</v>
      </c>
      <c r="AP252" s="8">
        <v>205</v>
      </c>
      <c r="AQ252" s="8">
        <v>133</v>
      </c>
      <c r="AR252" s="8">
        <v>153</v>
      </c>
      <c r="AS252" s="8">
        <v>108</v>
      </c>
      <c r="AT252" s="8">
        <v>121</v>
      </c>
      <c r="AU252" s="8">
        <v>114</v>
      </c>
      <c r="AV252" s="8">
        <v>169</v>
      </c>
      <c r="AW252" s="8">
        <v>138</v>
      </c>
      <c r="AX252" s="8">
        <v>103</v>
      </c>
      <c r="AY252" s="8">
        <v>118</v>
      </c>
      <c r="AZ252" s="8">
        <v>117</v>
      </c>
      <c r="BA252" s="8">
        <v>124</v>
      </c>
      <c r="BB252" s="8">
        <v>121</v>
      </c>
      <c r="BC252" s="8">
        <v>108</v>
      </c>
      <c r="BD252" s="8">
        <v>100</v>
      </c>
      <c r="BE252" s="8">
        <v>91</v>
      </c>
      <c r="BF252" s="8">
        <v>124</v>
      </c>
      <c r="BG252" s="8">
        <v>93</v>
      </c>
      <c r="BH252" s="8">
        <v>241</v>
      </c>
      <c r="BI252" s="8">
        <v>111</v>
      </c>
      <c r="BJ252" s="8">
        <v>98</v>
      </c>
      <c r="BK252" s="8">
        <v>178</v>
      </c>
      <c r="BL252" s="8">
        <v>119</v>
      </c>
      <c r="BM252" s="8">
        <v>132</v>
      </c>
      <c r="BN252" s="8">
        <v>196</v>
      </c>
      <c r="BO252" s="8">
        <v>133</v>
      </c>
      <c r="BP252" s="8">
        <v>98</v>
      </c>
      <c r="BQ252" s="8">
        <v>112</v>
      </c>
      <c r="BR252" s="8">
        <v>191</v>
      </c>
      <c r="BS252" s="8">
        <v>149</v>
      </c>
      <c r="BT252" s="8">
        <v>145</v>
      </c>
      <c r="BU252" s="8">
        <v>167</v>
      </c>
      <c r="BV252" s="8">
        <v>137</v>
      </c>
      <c r="BW252" s="8">
        <v>101</v>
      </c>
      <c r="BX252" s="8">
        <v>100</v>
      </c>
      <c r="BY252" s="8">
        <v>75</v>
      </c>
      <c r="BZ252" s="8">
        <v>92</v>
      </c>
      <c r="CA252" s="8">
        <v>76</v>
      </c>
      <c r="CB252" s="8">
        <v>261</v>
      </c>
      <c r="CC252" s="8">
        <v>90</v>
      </c>
      <c r="CD252" s="8">
        <v>61</v>
      </c>
      <c r="CE252" s="8">
        <v>101</v>
      </c>
      <c r="CF252" s="8">
        <v>113</v>
      </c>
      <c r="CG252" s="8">
        <v>120</v>
      </c>
      <c r="CH252" s="8">
        <v>99</v>
      </c>
      <c r="CJ252" s="9"/>
      <c r="CK252" s="9"/>
      <c r="CL252" s="9"/>
      <c r="CM252" s="9"/>
      <c r="CN252" s="9"/>
      <c r="CO252" s="9"/>
      <c r="CP252" s="9"/>
      <c r="CQ252" s="9"/>
      <c r="CR252" s="9"/>
      <c r="CS252" s="9"/>
      <c r="CT252" s="9"/>
      <c r="CU252" s="9"/>
      <c r="CV252" s="9"/>
      <c r="CW252" s="9"/>
      <c r="CX252" s="9"/>
      <c r="CY252" s="9"/>
      <c r="CZ252" s="9"/>
      <c r="DA252" s="9"/>
      <c r="DB252" s="9"/>
      <c r="DC252" s="9"/>
      <c r="DD252" s="9"/>
      <c r="DE252" s="9"/>
      <c r="DF252" s="9"/>
      <c r="DG252" s="9"/>
      <c r="DH252" s="9"/>
      <c r="DI252" s="9"/>
      <c r="DJ252" s="9"/>
      <c r="DK252" s="9"/>
      <c r="DL252" s="9"/>
      <c r="DM252" s="9"/>
      <c r="DN252" s="9"/>
      <c r="DO252" s="9"/>
      <c r="DP252" s="9"/>
      <c r="DQ252" s="9"/>
      <c r="DR252" s="9"/>
      <c r="DS252" s="9"/>
      <c r="DT252" s="9"/>
      <c r="DU252" s="9"/>
      <c r="DV252" s="9"/>
      <c r="DW252" s="9"/>
      <c r="DX252" s="9"/>
      <c r="DY252" s="9"/>
      <c r="DZ252" s="9"/>
      <c r="EA252" s="9"/>
      <c r="EB252" s="9"/>
      <c r="EC252" s="9"/>
      <c r="ED252" s="9"/>
      <c r="EE252" s="9"/>
      <c r="EF252" s="9"/>
      <c r="EG252" s="9"/>
      <c r="EH252" s="9"/>
      <c r="EI252" s="9"/>
      <c r="EJ252" s="9"/>
      <c r="EK252" s="9"/>
      <c r="EL252" s="9"/>
      <c r="EM252" s="9"/>
      <c r="EN252" s="9"/>
      <c r="EO252" s="9"/>
      <c r="EP252" s="9"/>
      <c r="EQ252" s="9"/>
      <c r="ER252" s="9"/>
      <c r="ES252" s="9"/>
      <c r="ET252" s="9"/>
      <c r="EU252" s="9"/>
      <c r="EV252" s="9"/>
      <c r="EW252" s="9"/>
      <c r="EX252" s="9"/>
      <c r="EY252" s="9"/>
      <c r="EZ252" s="9"/>
      <c r="FA252" s="9"/>
      <c r="FB252" s="9"/>
      <c r="FC252" s="9"/>
      <c r="FD252" s="9"/>
      <c r="FE252" s="9"/>
      <c r="FF252" s="9"/>
      <c r="FG252" s="9"/>
      <c r="FH252" s="9"/>
      <c r="FI252" s="9"/>
    </row>
    <row r="253" spans="1:165" x14ac:dyDescent="0.2">
      <c r="A253" s="1" t="s">
        <v>1339</v>
      </c>
      <c r="B253" s="1" t="s">
        <v>1340</v>
      </c>
      <c r="C253" s="1" t="s">
        <v>1146</v>
      </c>
      <c r="D253" s="1" t="str">
        <f>HYPERLINK("http://eros.fiehnlab.ucdavis.edu:8080/binbase-compound/bin/show/204344?db=rtx5","204344")</f>
        <v>204344</v>
      </c>
      <c r="E253" s="1" t="s">
        <v>1341</v>
      </c>
      <c r="F253" s="1" t="s">
        <v>184</v>
      </c>
      <c r="G253" s="1" t="s">
        <v>184</v>
      </c>
      <c r="H253" s="1"/>
      <c r="I253" s="8">
        <v>77786</v>
      </c>
      <c r="J253" s="8">
        <v>59852</v>
      </c>
      <c r="K253" s="8">
        <v>66218</v>
      </c>
      <c r="L253" s="8">
        <v>59107</v>
      </c>
      <c r="M253" s="8">
        <v>69381</v>
      </c>
      <c r="N253" s="8">
        <v>94222</v>
      </c>
      <c r="O253" s="8">
        <v>50409</v>
      </c>
      <c r="P253" s="8">
        <v>55282</v>
      </c>
      <c r="Q253" s="8">
        <v>80532</v>
      </c>
      <c r="R253" s="8">
        <v>88573</v>
      </c>
      <c r="S253" s="8">
        <v>96149</v>
      </c>
      <c r="T253" s="8">
        <v>52085</v>
      </c>
      <c r="U253" s="8">
        <v>203994</v>
      </c>
      <c r="V253" s="8">
        <v>54105</v>
      </c>
      <c r="W253" s="8">
        <v>68526</v>
      </c>
      <c r="X253" s="8">
        <v>78588</v>
      </c>
      <c r="Y253" s="8">
        <v>45865</v>
      </c>
      <c r="Z253" s="8">
        <v>54893</v>
      </c>
      <c r="AA253" s="8">
        <v>49203</v>
      </c>
      <c r="AB253" s="8">
        <v>68480</v>
      </c>
      <c r="AC253" s="8">
        <v>69289</v>
      </c>
      <c r="AD253" s="8">
        <v>55965</v>
      </c>
      <c r="AE253" s="8">
        <v>73996</v>
      </c>
      <c r="AF253" s="8">
        <v>64162</v>
      </c>
      <c r="AG253" s="8">
        <v>82860</v>
      </c>
      <c r="AH253" s="8">
        <v>73204</v>
      </c>
      <c r="AI253" s="8">
        <v>67745</v>
      </c>
      <c r="AJ253" s="8">
        <v>71634</v>
      </c>
      <c r="AK253" s="8">
        <v>63300</v>
      </c>
      <c r="AL253" s="8">
        <v>82909</v>
      </c>
      <c r="AM253" s="8">
        <v>76299</v>
      </c>
      <c r="AN253" s="8">
        <v>55529</v>
      </c>
      <c r="AO253" s="8">
        <v>64628</v>
      </c>
      <c r="AP253" s="8">
        <v>100893</v>
      </c>
      <c r="AQ253" s="8">
        <v>71924</v>
      </c>
      <c r="AR253" s="8">
        <v>70329</v>
      </c>
      <c r="AS253" s="8">
        <v>134555</v>
      </c>
      <c r="AT253" s="8">
        <v>67790</v>
      </c>
      <c r="AU253" s="8">
        <v>58068</v>
      </c>
      <c r="AV253" s="8">
        <v>44572</v>
      </c>
      <c r="AW253" s="8">
        <v>68372</v>
      </c>
      <c r="AX253" s="8">
        <v>66311</v>
      </c>
      <c r="AY253" s="8">
        <v>72763</v>
      </c>
      <c r="AZ253" s="8">
        <v>81151</v>
      </c>
      <c r="BA253" s="8">
        <v>77352</v>
      </c>
      <c r="BB253" s="8">
        <v>91721</v>
      </c>
      <c r="BC253" s="8">
        <v>75886</v>
      </c>
      <c r="BD253" s="8">
        <v>71624</v>
      </c>
      <c r="BE253" s="8">
        <v>76705</v>
      </c>
      <c r="BF253" s="8">
        <v>66093</v>
      </c>
      <c r="BG253" s="8">
        <v>58909</v>
      </c>
      <c r="BH253" s="8">
        <v>47306</v>
      </c>
      <c r="BI253" s="8">
        <v>79953</v>
      </c>
      <c r="BJ253" s="8">
        <v>74484</v>
      </c>
      <c r="BK253" s="8">
        <v>66339</v>
      </c>
      <c r="BL253" s="8">
        <v>69961</v>
      </c>
      <c r="BM253" s="8">
        <v>72904</v>
      </c>
      <c r="BN253" s="8">
        <v>55232</v>
      </c>
      <c r="BO253" s="8">
        <v>72603</v>
      </c>
      <c r="BP253" s="8">
        <v>74802</v>
      </c>
      <c r="BQ253" s="8">
        <v>110398</v>
      </c>
      <c r="BR253" s="8">
        <v>65878</v>
      </c>
      <c r="BS253" s="8">
        <v>63793</v>
      </c>
      <c r="BT253" s="8">
        <v>65158</v>
      </c>
      <c r="BU253" s="8">
        <v>60019</v>
      </c>
      <c r="BV253" s="8">
        <v>58211</v>
      </c>
      <c r="BW253" s="8">
        <v>76976</v>
      </c>
      <c r="BX253" s="8">
        <v>62298</v>
      </c>
      <c r="BY253" s="8">
        <v>74739</v>
      </c>
      <c r="BZ253" s="8">
        <v>91732</v>
      </c>
      <c r="CA253" s="8">
        <v>65586</v>
      </c>
      <c r="CB253" s="8">
        <v>63957</v>
      </c>
      <c r="CC253" s="8">
        <v>51858</v>
      </c>
      <c r="CD253" s="8">
        <v>55775</v>
      </c>
      <c r="CE253" s="8">
        <v>59132</v>
      </c>
      <c r="CF253" s="8">
        <v>62696</v>
      </c>
      <c r="CG253" s="8">
        <v>67186</v>
      </c>
      <c r="CH253" s="8">
        <v>66733</v>
      </c>
      <c r="CJ253" s="9"/>
      <c r="CK253" s="9"/>
      <c r="CL253" s="9"/>
      <c r="CM253" s="9"/>
      <c r="CN253" s="9"/>
      <c r="CO253" s="9"/>
      <c r="CP253" s="9"/>
      <c r="CQ253" s="9"/>
      <c r="CR253" s="9"/>
      <c r="CS253" s="9"/>
      <c r="CT253" s="9"/>
      <c r="CU253" s="9"/>
      <c r="CV253" s="9"/>
      <c r="CW253" s="9"/>
      <c r="CX253" s="9"/>
      <c r="CY253" s="9"/>
      <c r="CZ253" s="9"/>
      <c r="DA253" s="9"/>
      <c r="DB253" s="9"/>
      <c r="DC253" s="9"/>
      <c r="DD253" s="9"/>
      <c r="DE253" s="9"/>
      <c r="DF253" s="9"/>
      <c r="DG253" s="9"/>
      <c r="DH253" s="9"/>
      <c r="DI253" s="9"/>
      <c r="DJ253" s="9"/>
      <c r="DK253" s="9"/>
      <c r="DL253" s="9"/>
      <c r="DM253" s="9"/>
      <c r="DN253" s="9"/>
      <c r="DO253" s="9"/>
      <c r="DP253" s="9"/>
      <c r="DQ253" s="9"/>
      <c r="DR253" s="9"/>
      <c r="DS253" s="9"/>
      <c r="DT253" s="9"/>
      <c r="DU253" s="9"/>
      <c r="DV253" s="9"/>
      <c r="DW253" s="9"/>
      <c r="DX253" s="9"/>
      <c r="DY253" s="9"/>
      <c r="DZ253" s="9"/>
      <c r="EA253" s="9"/>
      <c r="EB253" s="9"/>
      <c r="EC253" s="9"/>
      <c r="ED253" s="9"/>
      <c r="EE253" s="9"/>
      <c r="EF253" s="9"/>
      <c r="EG253" s="9"/>
      <c r="EH253" s="9"/>
      <c r="EI253" s="9"/>
      <c r="EJ253" s="9"/>
      <c r="EK253" s="9"/>
      <c r="EL253" s="9"/>
      <c r="EM253" s="9"/>
      <c r="EN253" s="9"/>
      <c r="EO253" s="9"/>
      <c r="EP253" s="9"/>
      <c r="EQ253" s="9"/>
      <c r="ER253" s="9"/>
      <c r="ES253" s="9"/>
      <c r="ET253" s="9"/>
      <c r="EU253" s="9"/>
      <c r="EV253" s="9"/>
      <c r="EW253" s="9"/>
      <c r="EX253" s="9"/>
      <c r="EY253" s="9"/>
      <c r="EZ253" s="9"/>
      <c r="FA253" s="9"/>
      <c r="FB253" s="9"/>
      <c r="FC253" s="9"/>
      <c r="FD253" s="9"/>
      <c r="FE253" s="9"/>
      <c r="FF253" s="9"/>
      <c r="FG253" s="9"/>
      <c r="FH253" s="9"/>
      <c r="FI253" s="9"/>
    </row>
    <row r="254" spans="1:165" x14ac:dyDescent="0.2">
      <c r="A254" s="1" t="s">
        <v>1072</v>
      </c>
      <c r="B254" s="1" t="s">
        <v>1073</v>
      </c>
      <c r="C254" s="1" t="s">
        <v>1059</v>
      </c>
      <c r="D254" s="1" t="str">
        <f>HYPERLINK("http://eros.fiehnlab.ucdavis.edu:8080/binbase-compound/bin/show/240432?db=rtx5","240432")</f>
        <v>240432</v>
      </c>
      <c r="E254" s="1" t="s">
        <v>1074</v>
      </c>
      <c r="F254" s="1" t="s">
        <v>184</v>
      </c>
      <c r="G254" s="1" t="s">
        <v>184</v>
      </c>
      <c r="H254" s="1"/>
      <c r="I254" s="8">
        <v>276</v>
      </c>
      <c r="J254" s="8">
        <v>217</v>
      </c>
      <c r="K254" s="8">
        <v>229</v>
      </c>
      <c r="L254" s="8">
        <v>226</v>
      </c>
      <c r="M254" s="8">
        <v>299</v>
      </c>
      <c r="N254" s="8">
        <v>290</v>
      </c>
      <c r="O254" s="8">
        <v>249</v>
      </c>
      <c r="P254" s="8">
        <v>253</v>
      </c>
      <c r="Q254" s="8">
        <v>265</v>
      </c>
      <c r="R254" s="8">
        <v>298</v>
      </c>
      <c r="S254" s="8">
        <v>287</v>
      </c>
      <c r="T254" s="8">
        <v>262</v>
      </c>
      <c r="U254" s="8">
        <v>252</v>
      </c>
      <c r="V254" s="8">
        <v>178</v>
      </c>
      <c r="W254" s="8">
        <v>180</v>
      </c>
      <c r="X254" s="8">
        <v>98</v>
      </c>
      <c r="Y254" s="8">
        <v>190</v>
      </c>
      <c r="Z254" s="8">
        <v>75</v>
      </c>
      <c r="AA254" s="8">
        <v>143</v>
      </c>
      <c r="AB254" s="8">
        <v>19</v>
      </c>
      <c r="AC254" s="8">
        <v>39</v>
      </c>
      <c r="AD254" s="8">
        <v>246</v>
      </c>
      <c r="AE254" s="8">
        <v>229</v>
      </c>
      <c r="AF254" s="8">
        <v>174</v>
      </c>
      <c r="AG254" s="8">
        <v>58</v>
      </c>
      <c r="AH254" s="8">
        <v>196</v>
      </c>
      <c r="AI254" s="8">
        <v>196</v>
      </c>
      <c r="AJ254" s="8">
        <v>29</v>
      </c>
      <c r="AK254" s="8">
        <v>178</v>
      </c>
      <c r="AL254" s="8">
        <v>217</v>
      </c>
      <c r="AM254" s="8">
        <v>423</v>
      </c>
      <c r="AN254" s="8">
        <v>290</v>
      </c>
      <c r="AO254" s="8">
        <v>204</v>
      </c>
      <c r="AP254" s="8">
        <v>242</v>
      </c>
      <c r="AQ254" s="8">
        <v>109</v>
      </c>
      <c r="AR254" s="8">
        <v>175</v>
      </c>
      <c r="AS254" s="8">
        <v>37</v>
      </c>
      <c r="AT254" s="8">
        <v>252</v>
      </c>
      <c r="AU254" s="8">
        <v>191</v>
      </c>
      <c r="AV254" s="8">
        <v>192</v>
      </c>
      <c r="AW254" s="8">
        <v>29</v>
      </c>
      <c r="AX254" s="8">
        <v>181</v>
      </c>
      <c r="AY254" s="8">
        <v>274</v>
      </c>
      <c r="AZ254" s="8">
        <v>256</v>
      </c>
      <c r="BA254" s="8">
        <v>289</v>
      </c>
      <c r="BB254" s="8">
        <v>207</v>
      </c>
      <c r="BC254" s="8">
        <v>237</v>
      </c>
      <c r="BD254" s="8">
        <v>182</v>
      </c>
      <c r="BE254" s="8">
        <v>100</v>
      </c>
      <c r="BF254" s="8">
        <v>272</v>
      </c>
      <c r="BG254" s="8">
        <v>254</v>
      </c>
      <c r="BH254" s="8">
        <v>136</v>
      </c>
      <c r="BI254" s="8">
        <v>178</v>
      </c>
      <c r="BJ254" s="8">
        <v>163</v>
      </c>
      <c r="BK254" s="8">
        <v>315</v>
      </c>
      <c r="BL254" s="8">
        <v>237</v>
      </c>
      <c r="BM254" s="8">
        <v>211</v>
      </c>
      <c r="BN254" s="8">
        <v>80</v>
      </c>
      <c r="BO254" s="8">
        <v>261</v>
      </c>
      <c r="BP254" s="8">
        <v>78</v>
      </c>
      <c r="BQ254" s="8">
        <v>287</v>
      </c>
      <c r="BR254" s="8">
        <v>101</v>
      </c>
      <c r="BS254" s="8">
        <v>197</v>
      </c>
      <c r="BT254" s="8">
        <v>215</v>
      </c>
      <c r="BU254" s="8">
        <v>210</v>
      </c>
      <c r="BV254" s="8">
        <v>207</v>
      </c>
      <c r="BW254" s="8">
        <v>207</v>
      </c>
      <c r="BX254" s="8">
        <v>229</v>
      </c>
      <c r="BY254" s="8">
        <v>70</v>
      </c>
      <c r="BZ254" s="8">
        <v>209</v>
      </c>
      <c r="CA254" s="8">
        <v>211</v>
      </c>
      <c r="CB254" s="8">
        <v>191</v>
      </c>
      <c r="CC254" s="8">
        <v>229</v>
      </c>
      <c r="CD254" s="8">
        <v>226</v>
      </c>
      <c r="CE254" s="8">
        <v>214</v>
      </c>
      <c r="CF254" s="8">
        <v>174</v>
      </c>
      <c r="CG254" s="8">
        <v>106</v>
      </c>
      <c r="CH254" s="8">
        <v>224</v>
      </c>
      <c r="CJ254" s="9"/>
      <c r="CK254" s="9"/>
      <c r="CL254" s="9"/>
      <c r="CM254" s="9"/>
      <c r="CN254" s="9"/>
      <c r="CO254" s="9"/>
      <c r="CP254" s="9"/>
      <c r="CQ254" s="9"/>
      <c r="CR254" s="9"/>
      <c r="CS254" s="9"/>
      <c r="CT254" s="9"/>
      <c r="CU254" s="9"/>
      <c r="CV254" s="9"/>
      <c r="CW254" s="9"/>
      <c r="CX254" s="9"/>
      <c r="CY254" s="9"/>
      <c r="CZ254" s="9"/>
      <c r="DA254" s="9"/>
      <c r="DB254" s="9"/>
      <c r="DC254" s="9"/>
      <c r="DD254" s="9"/>
      <c r="DE254" s="9"/>
      <c r="DF254" s="9"/>
      <c r="DG254" s="9"/>
      <c r="DH254" s="9"/>
      <c r="DI254" s="9"/>
      <c r="DJ254" s="9"/>
      <c r="DK254" s="9"/>
      <c r="DL254" s="9"/>
      <c r="DM254" s="9"/>
      <c r="DN254" s="9"/>
      <c r="DO254" s="9"/>
      <c r="DP254" s="9"/>
      <c r="DQ254" s="9"/>
      <c r="DR254" s="9"/>
      <c r="DS254" s="9"/>
      <c r="DT254" s="9"/>
      <c r="DU254" s="9"/>
      <c r="DV254" s="9"/>
      <c r="DW254" s="9"/>
      <c r="DX254" s="9"/>
      <c r="DY254" s="9"/>
      <c r="DZ254" s="9"/>
      <c r="EA254" s="9"/>
      <c r="EB254" s="9"/>
      <c r="EC254" s="9"/>
      <c r="ED254" s="9"/>
      <c r="EE254" s="9"/>
      <c r="EF254" s="9"/>
      <c r="EG254" s="9"/>
      <c r="EH254" s="9"/>
      <c r="EI254" s="9"/>
      <c r="EJ254" s="9"/>
      <c r="EK254" s="9"/>
      <c r="EL254" s="9"/>
      <c r="EM254" s="9"/>
      <c r="EN254" s="9"/>
      <c r="EO254" s="9"/>
      <c r="EP254" s="9"/>
      <c r="EQ254" s="9"/>
      <c r="ER254" s="9"/>
      <c r="ES254" s="9"/>
      <c r="ET254" s="9"/>
      <c r="EU254" s="9"/>
      <c r="EV254" s="9"/>
      <c r="EW254" s="9"/>
      <c r="EX254" s="9"/>
      <c r="EY254" s="9"/>
      <c r="EZ254" s="9"/>
      <c r="FA254" s="9"/>
      <c r="FB254" s="9"/>
      <c r="FC254" s="9"/>
      <c r="FD254" s="9"/>
      <c r="FE254" s="9"/>
      <c r="FF254" s="9"/>
      <c r="FG254" s="9"/>
      <c r="FH254" s="9"/>
      <c r="FI254" s="9"/>
    </row>
    <row r="255" spans="1:165" x14ac:dyDescent="0.2">
      <c r="A255" s="1" t="s">
        <v>1062</v>
      </c>
      <c r="B255" s="1" t="s">
        <v>1063</v>
      </c>
      <c r="C255" s="1" t="s">
        <v>339</v>
      </c>
      <c r="D255" s="1" t="str">
        <f>HYPERLINK("http://eros.fiehnlab.ucdavis.edu:8080/binbase-compound/bin/show/241389?db=rtx5","241389")</f>
        <v>241389</v>
      </c>
      <c r="E255" s="1" t="s">
        <v>1064</v>
      </c>
      <c r="F255" s="1" t="s">
        <v>184</v>
      </c>
      <c r="G255" s="1" t="s">
        <v>184</v>
      </c>
      <c r="H255" s="1"/>
      <c r="I255" s="8">
        <v>2256</v>
      </c>
      <c r="J255" s="8">
        <v>1923</v>
      </c>
      <c r="K255" s="8">
        <v>2915</v>
      </c>
      <c r="L255" s="8">
        <v>2513</v>
      </c>
      <c r="M255" s="8">
        <v>2094</v>
      </c>
      <c r="N255" s="8">
        <v>2868</v>
      </c>
      <c r="O255" s="8">
        <v>4228</v>
      </c>
      <c r="P255" s="8">
        <v>6019</v>
      </c>
      <c r="Q255" s="8">
        <v>1407</v>
      </c>
      <c r="R255" s="8">
        <v>899</v>
      </c>
      <c r="S255" s="8">
        <v>1672</v>
      </c>
      <c r="T255" s="8">
        <v>2125</v>
      </c>
      <c r="U255" s="8">
        <v>2833</v>
      </c>
      <c r="V255" s="8">
        <v>2316</v>
      </c>
      <c r="W255" s="8">
        <v>2300</v>
      </c>
      <c r="X255" s="8">
        <v>5743</v>
      </c>
      <c r="Y255" s="8">
        <v>1590</v>
      </c>
      <c r="Z255" s="8">
        <v>3133</v>
      </c>
      <c r="AA255" s="8">
        <v>724</v>
      </c>
      <c r="AB255" s="8">
        <v>1045</v>
      </c>
      <c r="AC255" s="8">
        <v>1011</v>
      </c>
      <c r="AD255" s="8">
        <v>976</v>
      </c>
      <c r="AE255" s="8">
        <v>732</v>
      </c>
      <c r="AF255" s="8">
        <v>571</v>
      </c>
      <c r="AG255" s="8">
        <v>3059</v>
      </c>
      <c r="AH255" s="8">
        <v>970</v>
      </c>
      <c r="AI255" s="8">
        <v>918</v>
      </c>
      <c r="AJ255" s="8">
        <v>2060</v>
      </c>
      <c r="AK255" s="8">
        <v>707</v>
      </c>
      <c r="AL255" s="8">
        <v>937</v>
      </c>
      <c r="AM255" s="8">
        <v>314</v>
      </c>
      <c r="AN255" s="8">
        <v>588</v>
      </c>
      <c r="AO255" s="8">
        <v>1252</v>
      </c>
      <c r="AP255" s="8">
        <v>705</v>
      </c>
      <c r="AQ255" s="8">
        <v>621</v>
      </c>
      <c r="AR255" s="8">
        <v>663</v>
      </c>
      <c r="AS255" s="8">
        <v>1748</v>
      </c>
      <c r="AT255" s="8">
        <v>1246</v>
      </c>
      <c r="AU255" s="8">
        <v>1383</v>
      </c>
      <c r="AV255" s="8">
        <v>1504</v>
      </c>
      <c r="AW255" s="8">
        <v>1089</v>
      </c>
      <c r="AX255" s="8">
        <v>1792</v>
      </c>
      <c r="AY255" s="8">
        <v>180</v>
      </c>
      <c r="AZ255" s="8">
        <v>449</v>
      </c>
      <c r="BA255" s="8">
        <v>226</v>
      </c>
      <c r="BB255" s="8">
        <v>259</v>
      </c>
      <c r="BC255" s="8">
        <v>216</v>
      </c>
      <c r="BD255" s="8">
        <v>162</v>
      </c>
      <c r="BE255" s="8">
        <v>2795</v>
      </c>
      <c r="BF255" s="8">
        <v>1923</v>
      </c>
      <c r="BG255" s="8">
        <v>3340</v>
      </c>
      <c r="BH255" s="8">
        <v>959</v>
      </c>
      <c r="BI255" s="8">
        <v>2831</v>
      </c>
      <c r="BJ255" s="8">
        <v>2440</v>
      </c>
      <c r="BK255" s="8">
        <v>4603</v>
      </c>
      <c r="BL255" s="8">
        <v>3491</v>
      </c>
      <c r="BM255" s="8">
        <v>4107</v>
      </c>
      <c r="BN255" s="8">
        <v>11700</v>
      </c>
      <c r="BO255" s="8">
        <v>3869</v>
      </c>
      <c r="BP255" s="8">
        <v>2351</v>
      </c>
      <c r="BQ255" s="8">
        <v>4362</v>
      </c>
      <c r="BR255" s="8">
        <v>4520</v>
      </c>
      <c r="BS255" s="8">
        <v>5345</v>
      </c>
      <c r="BT255" s="8">
        <v>4485</v>
      </c>
      <c r="BU255" s="8">
        <v>4068</v>
      </c>
      <c r="BV255" s="8">
        <v>3565</v>
      </c>
      <c r="BW255" s="8">
        <v>1820</v>
      </c>
      <c r="BX255" s="8">
        <v>1844</v>
      </c>
      <c r="BY255" s="8">
        <v>1592</v>
      </c>
      <c r="BZ255" s="8">
        <v>1702</v>
      </c>
      <c r="CA255" s="8">
        <v>1653</v>
      </c>
      <c r="CB255" s="8">
        <v>7968</v>
      </c>
      <c r="CC255" s="8">
        <v>6562</v>
      </c>
      <c r="CD255" s="8">
        <v>2164</v>
      </c>
      <c r="CE255" s="8">
        <v>6427</v>
      </c>
      <c r="CF255" s="8">
        <v>5342</v>
      </c>
      <c r="CG255" s="8">
        <v>2658</v>
      </c>
      <c r="CH255" s="8">
        <v>3878</v>
      </c>
      <c r="CJ255" s="9"/>
      <c r="CK255" s="9"/>
      <c r="CL255" s="9"/>
      <c r="CM255" s="9"/>
      <c r="CN255" s="9"/>
      <c r="CO255" s="9"/>
      <c r="CP255" s="9"/>
      <c r="CQ255" s="9"/>
      <c r="CR255" s="9"/>
      <c r="CS255" s="9"/>
      <c r="CT255" s="9"/>
      <c r="CU255" s="9"/>
      <c r="CV255" s="9"/>
      <c r="CW255" s="9"/>
      <c r="CX255" s="9"/>
      <c r="CY255" s="9"/>
      <c r="CZ255" s="9"/>
      <c r="DA255" s="9"/>
      <c r="DB255" s="9"/>
      <c r="DC255" s="9"/>
      <c r="DD255" s="9"/>
      <c r="DE255" s="9"/>
      <c r="DF255" s="9"/>
      <c r="DG255" s="9"/>
      <c r="DH255" s="9"/>
      <c r="DI255" s="9"/>
      <c r="DJ255" s="9"/>
      <c r="DK255" s="9"/>
      <c r="DL255" s="9"/>
      <c r="DM255" s="9"/>
      <c r="DN255" s="9"/>
      <c r="DO255" s="9"/>
      <c r="DP255" s="9"/>
      <c r="DQ255" s="9"/>
      <c r="DR255" s="9"/>
      <c r="DS255" s="9"/>
      <c r="DT255" s="9"/>
      <c r="DU255" s="9"/>
      <c r="DV255" s="9"/>
      <c r="DW255" s="9"/>
      <c r="DX255" s="9"/>
      <c r="DY255" s="9"/>
      <c r="DZ255" s="9"/>
      <c r="EA255" s="9"/>
      <c r="EB255" s="9"/>
      <c r="EC255" s="9"/>
      <c r="ED255" s="9"/>
      <c r="EE255" s="9"/>
      <c r="EF255" s="9"/>
      <c r="EG255" s="9"/>
      <c r="EH255" s="9"/>
      <c r="EI255" s="9"/>
      <c r="EJ255" s="9"/>
      <c r="EK255" s="9"/>
      <c r="EL255" s="9"/>
      <c r="EM255" s="9"/>
      <c r="EN255" s="9"/>
      <c r="EO255" s="9"/>
      <c r="EP255" s="9"/>
      <c r="EQ255" s="9"/>
      <c r="ER255" s="9"/>
      <c r="ES255" s="9"/>
      <c r="ET255" s="9"/>
      <c r="EU255" s="9"/>
      <c r="EV255" s="9"/>
      <c r="EW255" s="9"/>
      <c r="EX255" s="9"/>
      <c r="EY255" s="9"/>
      <c r="EZ255" s="9"/>
      <c r="FA255" s="9"/>
      <c r="FB255" s="9"/>
      <c r="FC255" s="9"/>
      <c r="FD255" s="9"/>
      <c r="FE255" s="9"/>
      <c r="FF255" s="9"/>
      <c r="FG255" s="9"/>
      <c r="FH255" s="9"/>
      <c r="FI255" s="9"/>
    </row>
    <row r="256" spans="1:165" x14ac:dyDescent="0.2">
      <c r="A256" s="1" t="s">
        <v>1054</v>
      </c>
      <c r="B256" s="1" t="s">
        <v>1055</v>
      </c>
      <c r="C256" s="1" t="s">
        <v>273</v>
      </c>
      <c r="D256" s="1" t="str">
        <f>HYPERLINK("http://eros.fiehnlab.ucdavis.edu:8080/binbase-compound/bin/show/242216?db=rtx5","242216")</f>
        <v>242216</v>
      </c>
      <c r="E256" s="1" t="s">
        <v>1056</v>
      </c>
      <c r="F256" s="1" t="s">
        <v>184</v>
      </c>
      <c r="G256" s="1" t="s">
        <v>184</v>
      </c>
      <c r="H256" s="1"/>
      <c r="I256" s="8">
        <v>4525</v>
      </c>
      <c r="J256" s="8">
        <v>3691</v>
      </c>
      <c r="K256" s="8">
        <v>4652</v>
      </c>
      <c r="L256" s="8">
        <v>4974</v>
      </c>
      <c r="M256" s="8">
        <v>5055</v>
      </c>
      <c r="N256" s="8">
        <v>4215</v>
      </c>
      <c r="O256" s="8">
        <v>540</v>
      </c>
      <c r="P256" s="8">
        <v>373</v>
      </c>
      <c r="Q256" s="8">
        <v>514</v>
      </c>
      <c r="R256" s="8">
        <v>605</v>
      </c>
      <c r="S256" s="8">
        <v>663</v>
      </c>
      <c r="T256" s="8">
        <v>576</v>
      </c>
      <c r="U256" s="8">
        <v>267</v>
      </c>
      <c r="V256" s="8">
        <v>237</v>
      </c>
      <c r="W256" s="8">
        <v>586</v>
      </c>
      <c r="X256" s="8">
        <v>567</v>
      </c>
      <c r="Y256" s="8">
        <v>357</v>
      </c>
      <c r="Z256" s="8">
        <v>661</v>
      </c>
      <c r="AA256" s="8">
        <v>124</v>
      </c>
      <c r="AB256" s="8">
        <v>241</v>
      </c>
      <c r="AC256" s="8">
        <v>237</v>
      </c>
      <c r="AD256" s="8">
        <v>168</v>
      </c>
      <c r="AE256" s="8">
        <v>233</v>
      </c>
      <c r="AF256" s="8">
        <v>179</v>
      </c>
      <c r="AG256" s="8">
        <v>278</v>
      </c>
      <c r="AH256" s="8">
        <v>213</v>
      </c>
      <c r="AI256" s="8">
        <v>729</v>
      </c>
      <c r="AJ256" s="8">
        <v>656</v>
      </c>
      <c r="AK256" s="8">
        <v>463</v>
      </c>
      <c r="AL256" s="8">
        <v>829</v>
      </c>
      <c r="AM256" s="8">
        <v>215</v>
      </c>
      <c r="AN256" s="8">
        <v>232</v>
      </c>
      <c r="AO256" s="8">
        <v>310</v>
      </c>
      <c r="AP256" s="8">
        <v>253</v>
      </c>
      <c r="AQ256" s="8">
        <v>236</v>
      </c>
      <c r="AR256" s="8">
        <v>210</v>
      </c>
      <c r="AS256" s="8">
        <v>259</v>
      </c>
      <c r="AT256" s="8">
        <v>237</v>
      </c>
      <c r="AU256" s="8">
        <v>350</v>
      </c>
      <c r="AV256" s="8">
        <v>280</v>
      </c>
      <c r="AW256" s="8">
        <v>682</v>
      </c>
      <c r="AX256" s="8">
        <v>331</v>
      </c>
      <c r="AY256" s="8">
        <v>190</v>
      </c>
      <c r="AZ256" s="8">
        <v>194</v>
      </c>
      <c r="BA256" s="8">
        <v>212</v>
      </c>
      <c r="BB256" s="8">
        <v>226</v>
      </c>
      <c r="BC256" s="8">
        <v>237</v>
      </c>
      <c r="BD256" s="8">
        <v>212</v>
      </c>
      <c r="BE256" s="8">
        <v>259</v>
      </c>
      <c r="BF256" s="8">
        <v>190</v>
      </c>
      <c r="BG256" s="8">
        <v>536</v>
      </c>
      <c r="BH256" s="8">
        <v>385</v>
      </c>
      <c r="BI256" s="8">
        <v>687</v>
      </c>
      <c r="BJ256" s="8">
        <v>510</v>
      </c>
      <c r="BK256" s="8">
        <v>214</v>
      </c>
      <c r="BL256" s="8">
        <v>370</v>
      </c>
      <c r="BM256" s="8">
        <v>520</v>
      </c>
      <c r="BN256" s="8">
        <v>331</v>
      </c>
      <c r="BO256" s="8">
        <v>573</v>
      </c>
      <c r="BP256" s="8">
        <v>626</v>
      </c>
      <c r="BQ256" s="8">
        <v>378</v>
      </c>
      <c r="BR256" s="8">
        <v>237</v>
      </c>
      <c r="BS256" s="8">
        <v>240</v>
      </c>
      <c r="BT256" s="8">
        <v>409</v>
      </c>
      <c r="BU256" s="8">
        <v>435</v>
      </c>
      <c r="BV256" s="8">
        <v>661</v>
      </c>
      <c r="BW256" s="8">
        <v>225</v>
      </c>
      <c r="BX256" s="8">
        <v>266</v>
      </c>
      <c r="BY256" s="8">
        <v>169</v>
      </c>
      <c r="BZ256" s="8">
        <v>261</v>
      </c>
      <c r="CA256" s="8">
        <v>220</v>
      </c>
      <c r="CB256" s="8">
        <v>126</v>
      </c>
      <c r="CC256" s="8">
        <v>190</v>
      </c>
      <c r="CD256" s="8">
        <v>250</v>
      </c>
      <c r="CE256" s="8">
        <v>191</v>
      </c>
      <c r="CF256" s="8">
        <v>251</v>
      </c>
      <c r="CG256" s="8">
        <v>520</v>
      </c>
      <c r="CH256" s="8">
        <v>323</v>
      </c>
      <c r="CJ256" s="9"/>
      <c r="CK256" s="9"/>
      <c r="CL256" s="9"/>
      <c r="CM256" s="9"/>
      <c r="CN256" s="9"/>
      <c r="CO256" s="9"/>
      <c r="CP256" s="9"/>
      <c r="CQ256" s="9"/>
      <c r="CR256" s="9"/>
      <c r="CS256" s="9"/>
      <c r="CT256" s="9"/>
      <c r="CU256" s="9"/>
      <c r="CV256" s="9"/>
      <c r="CW256" s="9"/>
      <c r="CX256" s="9"/>
      <c r="CY256" s="9"/>
      <c r="CZ256" s="9"/>
      <c r="DA256" s="9"/>
      <c r="DB256" s="9"/>
      <c r="DC256" s="9"/>
      <c r="DD256" s="9"/>
      <c r="DE256" s="9"/>
      <c r="DF256" s="9"/>
      <c r="DG256" s="9"/>
      <c r="DH256" s="9"/>
      <c r="DI256" s="9"/>
      <c r="DJ256" s="9"/>
      <c r="DK256" s="9"/>
      <c r="DL256" s="9"/>
      <c r="DM256" s="9"/>
      <c r="DN256" s="9"/>
      <c r="DO256" s="9"/>
      <c r="DP256" s="9"/>
      <c r="DQ256" s="9"/>
      <c r="DR256" s="9"/>
      <c r="DS256" s="9"/>
      <c r="DT256" s="9"/>
      <c r="DU256" s="9"/>
      <c r="DV256" s="9"/>
      <c r="DW256" s="9"/>
      <c r="DX256" s="9"/>
      <c r="DY256" s="9"/>
      <c r="DZ256" s="9"/>
      <c r="EA256" s="9"/>
      <c r="EB256" s="9"/>
      <c r="EC256" s="9"/>
      <c r="ED256" s="9"/>
      <c r="EE256" s="9"/>
      <c r="EF256" s="9"/>
      <c r="EG256" s="9"/>
      <c r="EH256" s="9"/>
      <c r="EI256" s="9"/>
      <c r="EJ256" s="9"/>
      <c r="EK256" s="9"/>
      <c r="EL256" s="9"/>
      <c r="EM256" s="9"/>
      <c r="EN256" s="9"/>
      <c r="EO256" s="9"/>
      <c r="EP256" s="9"/>
      <c r="EQ256" s="9"/>
      <c r="ER256" s="9"/>
      <c r="ES256" s="9"/>
      <c r="ET256" s="9"/>
      <c r="EU256" s="9"/>
      <c r="EV256" s="9"/>
      <c r="EW256" s="9"/>
      <c r="EX256" s="9"/>
      <c r="EY256" s="9"/>
      <c r="EZ256" s="9"/>
      <c r="FA256" s="9"/>
      <c r="FB256" s="9"/>
      <c r="FC256" s="9"/>
      <c r="FD256" s="9"/>
      <c r="FE256" s="9"/>
      <c r="FF256" s="9"/>
      <c r="FG256" s="9"/>
      <c r="FH256" s="9"/>
      <c r="FI256" s="9"/>
    </row>
    <row r="257" spans="1:165" x14ac:dyDescent="0.2">
      <c r="A257" s="1" t="s">
        <v>1266</v>
      </c>
      <c r="B257" s="1" t="s">
        <v>1267</v>
      </c>
      <c r="C257" s="1" t="s">
        <v>1159</v>
      </c>
      <c r="D257" s="1" t="str">
        <f>HYPERLINK("http://eros.fiehnlab.ucdavis.edu:8080/binbase-compound/bin/show/215739?db=rtx5","215739")</f>
        <v>215739</v>
      </c>
      <c r="E257" s="1" t="s">
        <v>1268</v>
      </c>
      <c r="F257" s="1" t="s">
        <v>184</v>
      </c>
      <c r="G257" s="1" t="s">
        <v>184</v>
      </c>
      <c r="H257" s="1"/>
      <c r="I257" s="8">
        <v>272</v>
      </c>
      <c r="J257" s="8">
        <v>597</v>
      </c>
      <c r="K257" s="8">
        <v>317</v>
      </c>
      <c r="L257" s="8">
        <v>181</v>
      </c>
      <c r="M257" s="8">
        <v>431</v>
      </c>
      <c r="N257" s="8">
        <v>1421</v>
      </c>
      <c r="O257" s="8">
        <v>198</v>
      </c>
      <c r="P257" s="8">
        <v>549</v>
      </c>
      <c r="Q257" s="8">
        <v>195</v>
      </c>
      <c r="R257" s="8">
        <v>528</v>
      </c>
      <c r="S257" s="8">
        <v>243</v>
      </c>
      <c r="T257" s="8">
        <v>506</v>
      </c>
      <c r="U257" s="8">
        <v>734</v>
      </c>
      <c r="V257" s="8">
        <v>215</v>
      </c>
      <c r="W257" s="8">
        <v>176</v>
      </c>
      <c r="X257" s="8">
        <v>381</v>
      </c>
      <c r="Y257" s="8">
        <v>182</v>
      </c>
      <c r="Z257" s="8">
        <v>665</v>
      </c>
      <c r="AA257" s="8">
        <v>261</v>
      </c>
      <c r="AB257" s="8">
        <v>201</v>
      </c>
      <c r="AC257" s="8">
        <v>214</v>
      </c>
      <c r="AD257" s="8">
        <v>280</v>
      </c>
      <c r="AE257" s="8">
        <v>207</v>
      </c>
      <c r="AF257" s="8">
        <v>264</v>
      </c>
      <c r="AG257" s="8">
        <v>390</v>
      </c>
      <c r="AH257" s="8">
        <v>558</v>
      </c>
      <c r="AI257" s="8">
        <v>611</v>
      </c>
      <c r="AJ257" s="8">
        <v>5755</v>
      </c>
      <c r="AK257" s="8">
        <v>122</v>
      </c>
      <c r="AL257" s="8">
        <v>668</v>
      </c>
      <c r="AM257" s="8">
        <v>305</v>
      </c>
      <c r="AN257" s="8">
        <v>263</v>
      </c>
      <c r="AO257" s="8">
        <v>270</v>
      </c>
      <c r="AP257" s="8">
        <v>265</v>
      </c>
      <c r="AQ257" s="8">
        <v>421</v>
      </c>
      <c r="AR257" s="8">
        <v>264</v>
      </c>
      <c r="AS257" s="8">
        <v>293</v>
      </c>
      <c r="AT257" s="8">
        <v>256</v>
      </c>
      <c r="AU257" s="8">
        <v>209</v>
      </c>
      <c r="AV257" s="8">
        <v>281</v>
      </c>
      <c r="AW257" s="8">
        <v>587</v>
      </c>
      <c r="AX257" s="8">
        <v>475</v>
      </c>
      <c r="AY257" s="8">
        <v>2061</v>
      </c>
      <c r="AZ257" s="8">
        <v>556</v>
      </c>
      <c r="BA257" s="8">
        <v>257</v>
      </c>
      <c r="BB257" s="8">
        <v>300</v>
      </c>
      <c r="BC257" s="8">
        <v>310</v>
      </c>
      <c r="BD257" s="8">
        <v>347</v>
      </c>
      <c r="BE257" s="8">
        <v>204</v>
      </c>
      <c r="BF257" s="8">
        <v>223</v>
      </c>
      <c r="BG257" s="8">
        <v>124</v>
      </c>
      <c r="BH257" s="8">
        <v>199</v>
      </c>
      <c r="BI257" s="8">
        <v>242</v>
      </c>
      <c r="BJ257" s="8">
        <v>282</v>
      </c>
      <c r="BK257" s="8">
        <v>511</v>
      </c>
      <c r="BL257" s="8">
        <v>241</v>
      </c>
      <c r="BM257" s="8">
        <v>1024</v>
      </c>
      <c r="BN257" s="8">
        <v>365</v>
      </c>
      <c r="BO257" s="8">
        <v>431</v>
      </c>
      <c r="BP257" s="8">
        <v>249</v>
      </c>
      <c r="BQ257" s="8">
        <v>186</v>
      </c>
      <c r="BR257" s="8">
        <v>195</v>
      </c>
      <c r="BS257" s="8">
        <v>262</v>
      </c>
      <c r="BT257" s="8">
        <v>211</v>
      </c>
      <c r="BU257" s="8">
        <v>524</v>
      </c>
      <c r="BV257" s="8">
        <v>207</v>
      </c>
      <c r="BW257" s="8">
        <v>236</v>
      </c>
      <c r="BX257" s="8">
        <v>330</v>
      </c>
      <c r="BY257" s="8">
        <v>174</v>
      </c>
      <c r="BZ257" s="8">
        <v>258</v>
      </c>
      <c r="CA257" s="8">
        <v>575</v>
      </c>
      <c r="CB257" s="8">
        <v>205</v>
      </c>
      <c r="CC257" s="8">
        <v>333</v>
      </c>
      <c r="CD257" s="8">
        <v>173</v>
      </c>
      <c r="CE257" s="8">
        <v>237</v>
      </c>
      <c r="CF257" s="8">
        <v>224</v>
      </c>
      <c r="CG257" s="8">
        <v>3376</v>
      </c>
      <c r="CH257" s="8">
        <v>322</v>
      </c>
      <c r="CJ257" s="9"/>
      <c r="CK257" s="9"/>
      <c r="CL257" s="9"/>
      <c r="CM257" s="9"/>
      <c r="CN257" s="9"/>
      <c r="CO257" s="9"/>
      <c r="CP257" s="9"/>
      <c r="CQ257" s="9"/>
      <c r="CR257" s="9"/>
      <c r="CS257" s="9"/>
      <c r="CT257" s="9"/>
      <c r="CU257" s="9"/>
      <c r="CV257" s="9"/>
      <c r="CW257" s="9"/>
      <c r="CX257" s="9"/>
      <c r="CY257" s="9"/>
      <c r="CZ257" s="9"/>
      <c r="DA257" s="9"/>
      <c r="DB257" s="9"/>
      <c r="DC257" s="9"/>
      <c r="DD257" s="9"/>
      <c r="DE257" s="9"/>
      <c r="DF257" s="9"/>
      <c r="DG257" s="9"/>
      <c r="DH257" s="9"/>
      <c r="DI257" s="9"/>
      <c r="DJ257" s="9"/>
      <c r="DK257" s="9"/>
      <c r="DL257" s="9"/>
      <c r="DM257" s="9"/>
      <c r="DN257" s="9"/>
      <c r="DO257" s="9"/>
      <c r="DP257" s="9"/>
      <c r="DQ257" s="9"/>
      <c r="DR257" s="9"/>
      <c r="DS257" s="9"/>
      <c r="DT257" s="9"/>
      <c r="DU257" s="9"/>
      <c r="DV257" s="9"/>
      <c r="DW257" s="9"/>
      <c r="DX257" s="9"/>
      <c r="DY257" s="9"/>
      <c r="DZ257" s="9"/>
      <c r="EA257" s="9"/>
      <c r="EB257" s="9"/>
      <c r="EC257" s="9"/>
      <c r="ED257" s="9"/>
      <c r="EE257" s="9"/>
      <c r="EF257" s="9"/>
      <c r="EG257" s="9"/>
      <c r="EH257" s="9"/>
      <c r="EI257" s="9"/>
      <c r="EJ257" s="9"/>
      <c r="EK257" s="9"/>
      <c r="EL257" s="9"/>
      <c r="EM257" s="9"/>
      <c r="EN257" s="9"/>
      <c r="EO257" s="9"/>
      <c r="EP257" s="9"/>
      <c r="EQ257" s="9"/>
      <c r="ER257" s="9"/>
      <c r="ES257" s="9"/>
      <c r="ET257" s="9"/>
      <c r="EU257" s="9"/>
      <c r="EV257" s="9"/>
      <c r="EW257" s="9"/>
      <c r="EX257" s="9"/>
      <c r="EY257" s="9"/>
      <c r="EZ257" s="9"/>
      <c r="FA257" s="9"/>
      <c r="FB257" s="9"/>
      <c r="FC257" s="9"/>
      <c r="FD257" s="9"/>
      <c r="FE257" s="9"/>
      <c r="FF257" s="9"/>
      <c r="FG257" s="9"/>
      <c r="FH257" s="9"/>
      <c r="FI257" s="9"/>
    </row>
    <row r="258" spans="1:165" x14ac:dyDescent="0.2">
      <c r="A258" s="1" t="s">
        <v>1157</v>
      </c>
      <c r="B258" s="1" t="s">
        <v>1158</v>
      </c>
      <c r="C258" s="1" t="s">
        <v>1159</v>
      </c>
      <c r="D258" s="1" t="str">
        <f>HYPERLINK("http://eros.fiehnlab.ucdavis.edu:8080/binbase-compound/bin/show/227767?db=rtx5","227767")</f>
        <v>227767</v>
      </c>
      <c r="E258" s="1" t="s">
        <v>1160</v>
      </c>
      <c r="F258" s="1" t="s">
        <v>184</v>
      </c>
      <c r="G258" s="1" t="s">
        <v>184</v>
      </c>
      <c r="H258" s="1"/>
      <c r="I258" s="8">
        <v>618</v>
      </c>
      <c r="J258" s="8">
        <v>608</v>
      </c>
      <c r="K258" s="8">
        <v>529</v>
      </c>
      <c r="L258" s="8">
        <v>475</v>
      </c>
      <c r="M258" s="8">
        <v>556</v>
      </c>
      <c r="N258" s="8">
        <v>664</v>
      </c>
      <c r="O258" s="8">
        <v>610</v>
      </c>
      <c r="P258" s="8">
        <v>723</v>
      </c>
      <c r="Q258" s="8">
        <v>458</v>
      </c>
      <c r="R258" s="8">
        <v>580</v>
      </c>
      <c r="S258" s="8">
        <v>829</v>
      </c>
      <c r="T258" s="8">
        <v>509</v>
      </c>
      <c r="U258" s="8">
        <v>376</v>
      </c>
      <c r="V258" s="8">
        <v>651</v>
      </c>
      <c r="W258" s="8">
        <v>483</v>
      </c>
      <c r="X258" s="8">
        <v>419</v>
      </c>
      <c r="Y258" s="8">
        <v>496</v>
      </c>
      <c r="Z258" s="8">
        <v>422</v>
      </c>
      <c r="AA258" s="8">
        <v>274</v>
      </c>
      <c r="AB258" s="8">
        <v>602</v>
      </c>
      <c r="AC258" s="8">
        <v>564</v>
      </c>
      <c r="AD258" s="8">
        <v>525</v>
      </c>
      <c r="AE258" s="8">
        <v>704</v>
      </c>
      <c r="AF258" s="8">
        <v>465</v>
      </c>
      <c r="AG258" s="8">
        <v>537</v>
      </c>
      <c r="AH258" s="8">
        <v>425</v>
      </c>
      <c r="AI258" s="8">
        <v>340</v>
      </c>
      <c r="AJ258" s="8">
        <v>571</v>
      </c>
      <c r="AK258" s="8">
        <v>583</v>
      </c>
      <c r="AL258" s="8">
        <v>509</v>
      </c>
      <c r="AM258" s="8">
        <v>519</v>
      </c>
      <c r="AN258" s="8">
        <v>759</v>
      </c>
      <c r="AO258" s="8">
        <v>530</v>
      </c>
      <c r="AP258" s="8">
        <v>1006</v>
      </c>
      <c r="AQ258" s="8">
        <v>660</v>
      </c>
      <c r="AR258" s="8">
        <v>493</v>
      </c>
      <c r="AS258" s="8">
        <v>401</v>
      </c>
      <c r="AT258" s="8">
        <v>447</v>
      </c>
      <c r="AU258" s="8">
        <v>351</v>
      </c>
      <c r="AV258" s="8">
        <v>543</v>
      </c>
      <c r="AW258" s="8">
        <v>371</v>
      </c>
      <c r="AX258" s="8">
        <v>609</v>
      </c>
      <c r="AY258" s="8">
        <v>615</v>
      </c>
      <c r="AZ258" s="8">
        <v>701</v>
      </c>
      <c r="BA258" s="8">
        <v>328</v>
      </c>
      <c r="BB258" s="8">
        <v>709</v>
      </c>
      <c r="BC258" s="8">
        <v>723</v>
      </c>
      <c r="BD258" s="8">
        <v>581</v>
      </c>
      <c r="BE258" s="8">
        <v>537</v>
      </c>
      <c r="BF258" s="8">
        <v>692</v>
      </c>
      <c r="BG258" s="8">
        <v>321</v>
      </c>
      <c r="BH258" s="8">
        <v>198</v>
      </c>
      <c r="BI258" s="8">
        <v>603</v>
      </c>
      <c r="BJ258" s="8">
        <v>365</v>
      </c>
      <c r="BK258" s="8">
        <v>873</v>
      </c>
      <c r="BL258" s="8">
        <v>594</v>
      </c>
      <c r="BM258" s="8">
        <v>626</v>
      </c>
      <c r="BN258" s="8">
        <v>422</v>
      </c>
      <c r="BO258" s="8">
        <v>747</v>
      </c>
      <c r="BP258" s="8">
        <v>368</v>
      </c>
      <c r="BQ258" s="8">
        <v>341</v>
      </c>
      <c r="BR258" s="8">
        <v>701</v>
      </c>
      <c r="BS258" s="8">
        <v>492</v>
      </c>
      <c r="BT258" s="8">
        <v>417</v>
      </c>
      <c r="BU258" s="8">
        <v>367</v>
      </c>
      <c r="BV258" s="8">
        <v>503</v>
      </c>
      <c r="BW258" s="8">
        <v>567</v>
      </c>
      <c r="BX258" s="8">
        <v>574</v>
      </c>
      <c r="BY258" s="8">
        <v>681</v>
      </c>
      <c r="BZ258" s="8">
        <v>525</v>
      </c>
      <c r="CA258" s="8">
        <v>565</v>
      </c>
      <c r="CB258" s="8">
        <v>525</v>
      </c>
      <c r="CC258" s="8">
        <v>532</v>
      </c>
      <c r="CD258" s="8">
        <v>421</v>
      </c>
      <c r="CE258" s="8">
        <v>596</v>
      </c>
      <c r="CF258" s="8">
        <v>520</v>
      </c>
      <c r="CG258" s="8">
        <v>466</v>
      </c>
      <c r="CH258" s="8">
        <v>651</v>
      </c>
      <c r="CJ258" s="9"/>
      <c r="CK258" s="9"/>
      <c r="CL258" s="9"/>
      <c r="CM258" s="9"/>
      <c r="CN258" s="9"/>
      <c r="CO258" s="9"/>
      <c r="CP258" s="9"/>
      <c r="CQ258" s="9"/>
      <c r="CR258" s="9"/>
      <c r="CS258" s="9"/>
      <c r="CT258" s="9"/>
      <c r="CU258" s="9"/>
      <c r="CV258" s="9"/>
      <c r="CW258" s="9"/>
      <c r="CX258" s="9"/>
      <c r="CY258" s="9"/>
      <c r="CZ258" s="9"/>
      <c r="DA258" s="9"/>
      <c r="DB258" s="9"/>
      <c r="DC258" s="9"/>
      <c r="DD258" s="9"/>
      <c r="DE258" s="9"/>
      <c r="DF258" s="9"/>
      <c r="DG258" s="9"/>
      <c r="DH258" s="9"/>
      <c r="DI258" s="9"/>
      <c r="DJ258" s="9"/>
      <c r="DK258" s="9"/>
      <c r="DL258" s="9"/>
      <c r="DM258" s="9"/>
      <c r="DN258" s="9"/>
      <c r="DO258" s="9"/>
      <c r="DP258" s="9"/>
      <c r="DQ258" s="9"/>
      <c r="DR258" s="9"/>
      <c r="DS258" s="9"/>
      <c r="DT258" s="9"/>
      <c r="DU258" s="9"/>
      <c r="DV258" s="9"/>
      <c r="DW258" s="9"/>
      <c r="DX258" s="9"/>
      <c r="DY258" s="9"/>
      <c r="DZ258" s="9"/>
      <c r="EA258" s="9"/>
      <c r="EB258" s="9"/>
      <c r="EC258" s="9"/>
      <c r="ED258" s="9"/>
      <c r="EE258" s="9"/>
      <c r="EF258" s="9"/>
      <c r="EG258" s="9"/>
      <c r="EH258" s="9"/>
      <c r="EI258" s="9"/>
      <c r="EJ258" s="9"/>
      <c r="EK258" s="9"/>
      <c r="EL258" s="9"/>
      <c r="EM258" s="9"/>
      <c r="EN258" s="9"/>
      <c r="EO258" s="9"/>
      <c r="EP258" s="9"/>
      <c r="EQ258" s="9"/>
      <c r="ER258" s="9"/>
      <c r="ES258" s="9"/>
      <c r="ET258" s="9"/>
      <c r="EU258" s="9"/>
      <c r="EV258" s="9"/>
      <c r="EW258" s="9"/>
      <c r="EX258" s="9"/>
      <c r="EY258" s="9"/>
      <c r="EZ258" s="9"/>
      <c r="FA258" s="9"/>
      <c r="FB258" s="9"/>
      <c r="FC258" s="9"/>
      <c r="FD258" s="9"/>
      <c r="FE258" s="9"/>
      <c r="FF258" s="9"/>
      <c r="FG258" s="9"/>
      <c r="FH258" s="9"/>
      <c r="FI258" s="9"/>
    </row>
    <row r="259" spans="1:165" x14ac:dyDescent="0.2">
      <c r="A259" s="1" t="s">
        <v>960</v>
      </c>
      <c r="B259" s="1" t="s">
        <v>961</v>
      </c>
      <c r="C259" s="1" t="s">
        <v>962</v>
      </c>
      <c r="D259" s="1" t="str">
        <f>HYPERLINK("http://eros.fiehnlab.ucdavis.edu:8080/binbase-compound/bin/show/281951?db=rtx5","281951")</f>
        <v>281951</v>
      </c>
      <c r="E259" s="1" t="s">
        <v>963</v>
      </c>
      <c r="F259" s="1" t="s">
        <v>184</v>
      </c>
      <c r="G259" s="1" t="s">
        <v>184</v>
      </c>
      <c r="H259" s="1"/>
      <c r="I259" s="8">
        <v>1138</v>
      </c>
      <c r="J259" s="8">
        <v>939</v>
      </c>
      <c r="K259" s="8">
        <v>920</v>
      </c>
      <c r="L259" s="8">
        <v>776</v>
      </c>
      <c r="M259" s="8">
        <v>1024</v>
      </c>
      <c r="N259" s="8">
        <v>212</v>
      </c>
      <c r="O259" s="8">
        <v>807</v>
      </c>
      <c r="P259" s="8">
        <v>968</v>
      </c>
      <c r="Q259" s="8">
        <v>252</v>
      </c>
      <c r="R259" s="8">
        <v>1116</v>
      </c>
      <c r="S259" s="8">
        <v>1255</v>
      </c>
      <c r="T259" s="8">
        <v>88</v>
      </c>
      <c r="U259" s="8">
        <v>789</v>
      </c>
      <c r="V259" s="8">
        <v>918</v>
      </c>
      <c r="W259" s="8">
        <v>1037</v>
      </c>
      <c r="X259" s="8">
        <v>180</v>
      </c>
      <c r="Y259" s="8">
        <v>183</v>
      </c>
      <c r="Z259" s="8">
        <v>959</v>
      </c>
      <c r="AA259" s="8">
        <v>618</v>
      </c>
      <c r="AB259" s="8">
        <v>894</v>
      </c>
      <c r="AC259" s="8">
        <v>798</v>
      </c>
      <c r="AD259" s="8">
        <v>869</v>
      </c>
      <c r="AE259" s="8">
        <v>1159</v>
      </c>
      <c r="AF259" s="8">
        <v>697</v>
      </c>
      <c r="AG259" s="8">
        <v>621</v>
      </c>
      <c r="AH259" s="8">
        <v>1022</v>
      </c>
      <c r="AI259" s="8">
        <v>867</v>
      </c>
      <c r="AJ259" s="8">
        <v>1312</v>
      </c>
      <c r="AK259" s="8">
        <v>172</v>
      </c>
      <c r="AL259" s="8">
        <v>248</v>
      </c>
      <c r="AM259" s="8">
        <v>1189</v>
      </c>
      <c r="AN259" s="8">
        <v>1220</v>
      </c>
      <c r="AO259" s="8">
        <v>989</v>
      </c>
      <c r="AP259" s="8">
        <v>1297</v>
      </c>
      <c r="AQ259" s="8">
        <v>212</v>
      </c>
      <c r="AR259" s="8">
        <v>719</v>
      </c>
      <c r="AS259" s="8">
        <v>1054</v>
      </c>
      <c r="AT259" s="8">
        <v>1061</v>
      </c>
      <c r="AU259" s="8">
        <v>877</v>
      </c>
      <c r="AV259" s="8">
        <v>792</v>
      </c>
      <c r="AW259" s="8">
        <v>1079</v>
      </c>
      <c r="AX259" s="8">
        <v>215</v>
      </c>
      <c r="AY259" s="8">
        <v>1015</v>
      </c>
      <c r="AZ259" s="8">
        <v>1222</v>
      </c>
      <c r="BA259" s="8">
        <v>1044</v>
      </c>
      <c r="BB259" s="8">
        <v>326</v>
      </c>
      <c r="BC259" s="8">
        <v>291</v>
      </c>
      <c r="BD259" s="8">
        <v>1021</v>
      </c>
      <c r="BE259" s="8">
        <v>1047</v>
      </c>
      <c r="BF259" s="8">
        <v>933</v>
      </c>
      <c r="BG259" s="8">
        <v>865</v>
      </c>
      <c r="BH259" s="8">
        <v>771</v>
      </c>
      <c r="BI259" s="8">
        <v>221</v>
      </c>
      <c r="BJ259" s="8">
        <v>773</v>
      </c>
      <c r="BK259" s="8">
        <v>1118</v>
      </c>
      <c r="BL259" s="8">
        <v>1124</v>
      </c>
      <c r="BM259" s="8">
        <v>1000</v>
      </c>
      <c r="BN259" s="8">
        <v>885</v>
      </c>
      <c r="BO259" s="8">
        <v>1111</v>
      </c>
      <c r="BP259" s="8">
        <v>1349</v>
      </c>
      <c r="BQ259" s="8">
        <v>1038</v>
      </c>
      <c r="BR259" s="8">
        <v>1020</v>
      </c>
      <c r="BS259" s="8">
        <v>1009</v>
      </c>
      <c r="BT259" s="8">
        <v>917</v>
      </c>
      <c r="BU259" s="8">
        <v>196</v>
      </c>
      <c r="BV259" s="8">
        <v>165</v>
      </c>
      <c r="BW259" s="8">
        <v>973</v>
      </c>
      <c r="BX259" s="8">
        <v>910</v>
      </c>
      <c r="BY259" s="8">
        <v>843</v>
      </c>
      <c r="BZ259" s="8">
        <v>981</v>
      </c>
      <c r="CA259" s="8">
        <v>230</v>
      </c>
      <c r="CB259" s="8">
        <v>754</v>
      </c>
      <c r="CC259" s="8">
        <v>762</v>
      </c>
      <c r="CD259" s="8">
        <v>759</v>
      </c>
      <c r="CE259" s="8">
        <v>883</v>
      </c>
      <c r="CF259" s="8">
        <v>646</v>
      </c>
      <c r="CG259" s="8">
        <v>1078</v>
      </c>
      <c r="CH259" s="8">
        <v>967</v>
      </c>
      <c r="CJ259" s="9"/>
      <c r="CK259" s="9"/>
      <c r="CL259" s="9"/>
      <c r="CM259" s="9"/>
      <c r="CN259" s="9"/>
      <c r="CO259" s="9"/>
      <c r="CP259" s="9"/>
      <c r="CQ259" s="9"/>
      <c r="CR259" s="9"/>
      <c r="CS259" s="9"/>
      <c r="CT259" s="9"/>
      <c r="CU259" s="9"/>
      <c r="CV259" s="9"/>
      <c r="CW259" s="9"/>
      <c r="CX259" s="9"/>
      <c r="CY259" s="9"/>
      <c r="CZ259" s="9"/>
      <c r="DA259" s="9"/>
      <c r="DB259" s="9"/>
      <c r="DC259" s="9"/>
      <c r="DD259" s="9"/>
      <c r="DE259" s="9"/>
      <c r="DF259" s="9"/>
      <c r="DG259" s="9"/>
      <c r="DH259" s="9"/>
      <c r="DI259" s="9"/>
      <c r="DJ259" s="9"/>
      <c r="DK259" s="9"/>
      <c r="DL259" s="9"/>
      <c r="DM259" s="9"/>
      <c r="DN259" s="9"/>
      <c r="DO259" s="9"/>
      <c r="DP259" s="9"/>
      <c r="DQ259" s="9"/>
      <c r="DR259" s="9"/>
      <c r="DS259" s="9"/>
      <c r="DT259" s="9"/>
      <c r="DU259" s="9"/>
      <c r="DV259" s="9"/>
      <c r="DW259" s="9"/>
      <c r="DX259" s="9"/>
      <c r="DY259" s="9"/>
      <c r="DZ259" s="9"/>
      <c r="EA259" s="9"/>
      <c r="EB259" s="9"/>
      <c r="EC259" s="9"/>
      <c r="ED259" s="9"/>
      <c r="EE259" s="9"/>
      <c r="EF259" s="9"/>
      <c r="EG259" s="9"/>
      <c r="EH259" s="9"/>
      <c r="EI259" s="9"/>
      <c r="EJ259" s="9"/>
      <c r="EK259" s="9"/>
      <c r="EL259" s="9"/>
      <c r="EM259" s="9"/>
      <c r="EN259" s="9"/>
      <c r="EO259" s="9"/>
      <c r="EP259" s="9"/>
      <c r="EQ259" s="9"/>
      <c r="ER259" s="9"/>
      <c r="ES259" s="9"/>
      <c r="ET259" s="9"/>
      <c r="EU259" s="9"/>
      <c r="EV259" s="9"/>
      <c r="EW259" s="9"/>
      <c r="EX259" s="9"/>
      <c r="EY259" s="9"/>
      <c r="EZ259" s="9"/>
      <c r="FA259" s="9"/>
      <c r="FB259" s="9"/>
      <c r="FC259" s="9"/>
      <c r="FD259" s="9"/>
      <c r="FE259" s="9"/>
      <c r="FF259" s="9"/>
      <c r="FG259" s="9"/>
      <c r="FH259" s="9"/>
      <c r="FI259" s="9"/>
    </row>
    <row r="260" spans="1:165" x14ac:dyDescent="0.2">
      <c r="A260" s="1" t="s">
        <v>1409</v>
      </c>
      <c r="B260" s="1" t="s">
        <v>1410</v>
      </c>
      <c r="C260" s="1" t="s">
        <v>848</v>
      </c>
      <c r="D260" s="1" t="str">
        <f>HYPERLINK("http://eros.fiehnlab.ucdavis.edu:8080/binbase-compound/bin/show/199596?db=rtx5","199596")</f>
        <v>199596</v>
      </c>
      <c r="E260" s="1" t="s">
        <v>1411</v>
      </c>
      <c r="F260" s="1" t="s">
        <v>184</v>
      </c>
      <c r="G260" s="1" t="s">
        <v>184</v>
      </c>
      <c r="H260" s="1"/>
      <c r="I260" s="8">
        <v>5142</v>
      </c>
      <c r="J260" s="8">
        <v>2929</v>
      </c>
      <c r="K260" s="8">
        <v>2915</v>
      </c>
      <c r="L260" s="8">
        <v>3135</v>
      </c>
      <c r="M260" s="8">
        <v>5477</v>
      </c>
      <c r="N260" s="8">
        <v>5294</v>
      </c>
      <c r="O260" s="8">
        <v>2524</v>
      </c>
      <c r="P260" s="8">
        <v>4538</v>
      </c>
      <c r="Q260" s="8">
        <v>5928</v>
      </c>
      <c r="R260" s="8">
        <v>6114</v>
      </c>
      <c r="S260" s="8">
        <v>6702</v>
      </c>
      <c r="T260" s="8">
        <v>4318</v>
      </c>
      <c r="U260" s="8">
        <v>3200</v>
      </c>
      <c r="V260" s="8">
        <v>3110</v>
      </c>
      <c r="W260" s="8">
        <v>5166</v>
      </c>
      <c r="X260" s="8">
        <v>7838</v>
      </c>
      <c r="Y260" s="8">
        <v>4198</v>
      </c>
      <c r="Z260" s="8">
        <v>4255</v>
      </c>
      <c r="AA260" s="8">
        <v>2841</v>
      </c>
      <c r="AB260" s="8">
        <v>3724</v>
      </c>
      <c r="AC260" s="8">
        <v>3968</v>
      </c>
      <c r="AD260" s="8">
        <v>3366</v>
      </c>
      <c r="AE260" s="8">
        <v>7899</v>
      </c>
      <c r="AF260" s="8">
        <v>4139</v>
      </c>
      <c r="AG260" s="8">
        <v>2542</v>
      </c>
      <c r="AH260" s="8">
        <v>3174</v>
      </c>
      <c r="AI260" s="8">
        <v>2950</v>
      </c>
      <c r="AJ260" s="8">
        <v>7891</v>
      </c>
      <c r="AK260" s="8">
        <v>4430</v>
      </c>
      <c r="AL260" s="8">
        <v>5672</v>
      </c>
      <c r="AM260" s="8">
        <v>4092</v>
      </c>
      <c r="AN260" s="8">
        <v>3982</v>
      </c>
      <c r="AO260" s="8">
        <v>4276</v>
      </c>
      <c r="AP260" s="8">
        <v>9103</v>
      </c>
      <c r="AQ260" s="8">
        <v>5007</v>
      </c>
      <c r="AR260" s="8">
        <v>4443</v>
      </c>
      <c r="AS260" s="8">
        <v>3322</v>
      </c>
      <c r="AT260" s="8">
        <v>4658</v>
      </c>
      <c r="AU260" s="8">
        <v>2993</v>
      </c>
      <c r="AV260" s="8">
        <v>2798</v>
      </c>
      <c r="AW260" s="8">
        <v>7642</v>
      </c>
      <c r="AX260" s="8">
        <v>4356</v>
      </c>
      <c r="AY260" s="8">
        <v>3463</v>
      </c>
      <c r="AZ260" s="8">
        <v>6762</v>
      </c>
      <c r="BA260" s="8">
        <v>6355</v>
      </c>
      <c r="BB260" s="8">
        <v>8524</v>
      </c>
      <c r="BC260" s="8">
        <v>7920</v>
      </c>
      <c r="BD260" s="8">
        <v>5844</v>
      </c>
      <c r="BE260" s="8">
        <v>3305</v>
      </c>
      <c r="BF260" s="8">
        <v>2935</v>
      </c>
      <c r="BG260" s="8">
        <v>2944</v>
      </c>
      <c r="BH260" s="8">
        <v>2256</v>
      </c>
      <c r="BI260" s="8">
        <v>5201</v>
      </c>
      <c r="BJ260" s="8">
        <v>5213</v>
      </c>
      <c r="BK260" s="8">
        <v>4906</v>
      </c>
      <c r="BL260" s="8">
        <v>3245</v>
      </c>
      <c r="BM260" s="8">
        <v>4350</v>
      </c>
      <c r="BN260" s="8">
        <v>4287</v>
      </c>
      <c r="BO260" s="8">
        <v>5422</v>
      </c>
      <c r="BP260" s="8">
        <v>6860</v>
      </c>
      <c r="BQ260" s="8">
        <v>3451</v>
      </c>
      <c r="BR260" s="8">
        <v>3478</v>
      </c>
      <c r="BS260" s="8">
        <v>2854</v>
      </c>
      <c r="BT260" s="8">
        <v>5379</v>
      </c>
      <c r="BU260" s="8">
        <v>4815</v>
      </c>
      <c r="BV260" s="8">
        <v>5646</v>
      </c>
      <c r="BW260" s="8">
        <v>4318</v>
      </c>
      <c r="BX260" s="8">
        <v>3829</v>
      </c>
      <c r="BY260" s="8">
        <v>2728</v>
      </c>
      <c r="BZ260" s="8">
        <v>7392</v>
      </c>
      <c r="CA260" s="8">
        <v>7500</v>
      </c>
      <c r="CB260" s="8">
        <v>5277</v>
      </c>
      <c r="CC260" s="8">
        <v>3135</v>
      </c>
      <c r="CD260" s="8">
        <v>2442</v>
      </c>
      <c r="CE260" s="8">
        <v>3884</v>
      </c>
      <c r="CF260" s="8">
        <v>3088</v>
      </c>
      <c r="CG260" s="8">
        <v>4948</v>
      </c>
      <c r="CH260" s="8">
        <v>6686</v>
      </c>
      <c r="CJ260" s="9"/>
      <c r="CK260" s="9"/>
      <c r="CL260" s="9"/>
      <c r="CM260" s="9"/>
      <c r="CN260" s="9"/>
      <c r="CO260" s="9"/>
      <c r="CP260" s="9"/>
      <c r="CQ260" s="9"/>
      <c r="CR260" s="9"/>
      <c r="CS260" s="9"/>
      <c r="CT260" s="9"/>
      <c r="CU260" s="9"/>
      <c r="CV260" s="9"/>
      <c r="CW260" s="9"/>
      <c r="CX260" s="9"/>
      <c r="CY260" s="9"/>
      <c r="CZ260" s="9"/>
      <c r="DA260" s="9"/>
      <c r="DB260" s="9"/>
      <c r="DC260" s="9"/>
      <c r="DD260" s="9"/>
      <c r="DE260" s="9"/>
      <c r="DF260" s="9"/>
      <c r="DG260" s="9"/>
      <c r="DH260" s="9"/>
      <c r="DI260" s="9"/>
      <c r="DJ260" s="9"/>
      <c r="DK260" s="9"/>
      <c r="DL260" s="9"/>
      <c r="DM260" s="9"/>
      <c r="DN260" s="9"/>
      <c r="DO260" s="9"/>
      <c r="DP260" s="9"/>
      <c r="DQ260" s="9"/>
      <c r="DR260" s="9"/>
      <c r="DS260" s="9"/>
      <c r="DT260" s="9"/>
      <c r="DU260" s="9"/>
      <c r="DV260" s="9"/>
      <c r="DW260" s="9"/>
      <c r="DX260" s="9"/>
      <c r="DY260" s="9"/>
      <c r="DZ260" s="9"/>
      <c r="EA260" s="9"/>
      <c r="EB260" s="9"/>
      <c r="EC260" s="9"/>
      <c r="ED260" s="9"/>
      <c r="EE260" s="9"/>
      <c r="EF260" s="9"/>
      <c r="EG260" s="9"/>
      <c r="EH260" s="9"/>
      <c r="EI260" s="9"/>
      <c r="EJ260" s="9"/>
      <c r="EK260" s="9"/>
      <c r="EL260" s="9"/>
      <c r="EM260" s="9"/>
      <c r="EN260" s="9"/>
      <c r="EO260" s="9"/>
      <c r="EP260" s="9"/>
      <c r="EQ260" s="9"/>
      <c r="ER260" s="9"/>
      <c r="ES260" s="9"/>
      <c r="ET260" s="9"/>
      <c r="EU260" s="9"/>
      <c r="EV260" s="9"/>
      <c r="EW260" s="9"/>
      <c r="EX260" s="9"/>
      <c r="EY260" s="9"/>
      <c r="EZ260" s="9"/>
      <c r="FA260" s="9"/>
      <c r="FB260" s="9"/>
      <c r="FC260" s="9"/>
      <c r="FD260" s="9"/>
      <c r="FE260" s="9"/>
      <c r="FF260" s="9"/>
      <c r="FG260" s="9"/>
      <c r="FH260" s="9"/>
      <c r="FI260" s="9"/>
    </row>
    <row r="261" spans="1:165" x14ac:dyDescent="0.2">
      <c r="A261" s="1" t="s">
        <v>792</v>
      </c>
      <c r="B261" s="1" t="s">
        <v>793</v>
      </c>
      <c r="C261" s="1" t="s">
        <v>639</v>
      </c>
      <c r="D261" s="1" t="str">
        <f>HYPERLINK("http://eros.fiehnlab.ucdavis.edu:8080/binbase-compound/bin/show/362017?db=rtx5","362017")</f>
        <v>362017</v>
      </c>
      <c r="E261" s="1" t="s">
        <v>794</v>
      </c>
      <c r="F261" s="1" t="s">
        <v>184</v>
      </c>
      <c r="G261" s="1" t="s">
        <v>184</v>
      </c>
      <c r="H261" s="1"/>
      <c r="I261" s="8">
        <v>1439</v>
      </c>
      <c r="J261" s="8">
        <v>1466</v>
      </c>
      <c r="K261" s="8">
        <v>1206</v>
      </c>
      <c r="L261" s="8">
        <v>1255</v>
      </c>
      <c r="M261" s="8">
        <v>1120</v>
      </c>
      <c r="N261" s="8">
        <v>1416</v>
      </c>
      <c r="O261" s="8">
        <v>1626</v>
      </c>
      <c r="P261" s="8">
        <v>1992</v>
      </c>
      <c r="Q261" s="8">
        <v>1686</v>
      </c>
      <c r="R261" s="8">
        <v>1539</v>
      </c>
      <c r="S261" s="8">
        <v>1976</v>
      </c>
      <c r="T261" s="8">
        <v>1061</v>
      </c>
      <c r="U261" s="8">
        <v>1078</v>
      </c>
      <c r="V261" s="8">
        <v>1064</v>
      </c>
      <c r="W261" s="8">
        <v>658</v>
      </c>
      <c r="X261" s="8">
        <v>1403</v>
      </c>
      <c r="Y261" s="8">
        <v>1207</v>
      </c>
      <c r="Z261" s="8">
        <v>1289</v>
      </c>
      <c r="AA261" s="8">
        <v>1203</v>
      </c>
      <c r="AB261" s="8">
        <v>1986</v>
      </c>
      <c r="AC261" s="8">
        <v>2225</v>
      </c>
      <c r="AD261" s="8">
        <v>1540</v>
      </c>
      <c r="AE261" s="8">
        <v>1753</v>
      </c>
      <c r="AF261" s="8">
        <v>1381</v>
      </c>
      <c r="AG261" s="8">
        <v>635</v>
      </c>
      <c r="AH261" s="8">
        <v>483</v>
      </c>
      <c r="AI261" s="8">
        <v>643</v>
      </c>
      <c r="AJ261" s="8">
        <v>979</v>
      </c>
      <c r="AK261" s="8">
        <v>717</v>
      </c>
      <c r="AL261" s="8">
        <v>1764</v>
      </c>
      <c r="AM261" s="8">
        <v>2289</v>
      </c>
      <c r="AN261" s="8">
        <v>1799</v>
      </c>
      <c r="AO261" s="8">
        <v>2072</v>
      </c>
      <c r="AP261" s="8">
        <v>2198</v>
      </c>
      <c r="AQ261" s="8">
        <v>1952</v>
      </c>
      <c r="AR261" s="8">
        <v>1480</v>
      </c>
      <c r="AS261" s="8">
        <v>1551</v>
      </c>
      <c r="AT261" s="8">
        <v>1982</v>
      </c>
      <c r="AU261" s="8">
        <v>1234</v>
      </c>
      <c r="AV261" s="8">
        <v>1200</v>
      </c>
      <c r="AW261" s="8">
        <v>1206</v>
      </c>
      <c r="AX261" s="8">
        <v>1524</v>
      </c>
      <c r="AY261" s="8">
        <v>2316</v>
      </c>
      <c r="AZ261" s="8">
        <v>2384</v>
      </c>
      <c r="BA261" s="8">
        <v>2133</v>
      </c>
      <c r="BB261" s="8">
        <v>2096</v>
      </c>
      <c r="BC261" s="8">
        <v>1894</v>
      </c>
      <c r="BD261" s="8">
        <v>2267</v>
      </c>
      <c r="BE261" s="8">
        <v>706</v>
      </c>
      <c r="BF261" s="8">
        <v>729</v>
      </c>
      <c r="BG261" s="8">
        <v>700</v>
      </c>
      <c r="BH261" s="8">
        <v>625</v>
      </c>
      <c r="BI261" s="8">
        <v>682</v>
      </c>
      <c r="BJ261" s="8">
        <v>539</v>
      </c>
      <c r="BK261" s="8">
        <v>1822</v>
      </c>
      <c r="BL261" s="8">
        <v>1848</v>
      </c>
      <c r="BM261" s="8">
        <v>1670</v>
      </c>
      <c r="BN261" s="8">
        <v>1429</v>
      </c>
      <c r="BO261" s="8">
        <v>1428</v>
      </c>
      <c r="BP261" s="8">
        <v>1376</v>
      </c>
      <c r="BQ261" s="8">
        <v>1010</v>
      </c>
      <c r="BR261" s="8">
        <v>1154</v>
      </c>
      <c r="BS261" s="8">
        <v>1472</v>
      </c>
      <c r="BT261" s="8">
        <v>916</v>
      </c>
      <c r="BU261" s="8">
        <v>1043</v>
      </c>
      <c r="BV261" s="8">
        <v>1181</v>
      </c>
      <c r="BW261" s="8">
        <v>1643</v>
      </c>
      <c r="BX261" s="8">
        <v>1679</v>
      </c>
      <c r="BY261" s="8">
        <v>1612</v>
      </c>
      <c r="BZ261" s="8">
        <v>1495</v>
      </c>
      <c r="CA261" s="8">
        <v>1694</v>
      </c>
      <c r="CB261" s="8">
        <v>1493</v>
      </c>
      <c r="CC261" s="8">
        <v>827</v>
      </c>
      <c r="CD261" s="8">
        <v>845</v>
      </c>
      <c r="CE261" s="8">
        <v>963</v>
      </c>
      <c r="CF261" s="8">
        <v>674</v>
      </c>
      <c r="CG261" s="8">
        <v>892</v>
      </c>
      <c r="CH261" s="8">
        <v>727</v>
      </c>
      <c r="CJ261" s="9"/>
      <c r="CK261" s="9"/>
      <c r="CL261" s="9"/>
      <c r="CM261" s="9"/>
      <c r="CN261" s="9"/>
      <c r="CO261" s="9"/>
      <c r="CP261" s="9"/>
      <c r="CQ261" s="9"/>
      <c r="CR261" s="9"/>
      <c r="CS261" s="9"/>
      <c r="CT261" s="9"/>
      <c r="CU261" s="9"/>
      <c r="CV261" s="9"/>
      <c r="CW261" s="9"/>
      <c r="CX261" s="9"/>
      <c r="CY261" s="9"/>
      <c r="CZ261" s="9"/>
      <c r="DA261" s="9"/>
      <c r="DB261" s="9"/>
      <c r="DC261" s="9"/>
      <c r="DD261" s="9"/>
      <c r="DE261" s="9"/>
      <c r="DF261" s="9"/>
      <c r="DG261" s="9"/>
      <c r="DH261" s="9"/>
      <c r="DI261" s="9"/>
      <c r="DJ261" s="9"/>
      <c r="DK261" s="9"/>
      <c r="DL261" s="9"/>
      <c r="DM261" s="9"/>
      <c r="DN261" s="9"/>
      <c r="DO261" s="9"/>
      <c r="DP261" s="9"/>
      <c r="DQ261" s="9"/>
      <c r="DR261" s="9"/>
      <c r="DS261" s="9"/>
      <c r="DT261" s="9"/>
      <c r="DU261" s="9"/>
      <c r="DV261" s="9"/>
      <c r="DW261" s="9"/>
      <c r="DX261" s="9"/>
      <c r="DY261" s="9"/>
      <c r="DZ261" s="9"/>
      <c r="EA261" s="9"/>
      <c r="EB261" s="9"/>
      <c r="EC261" s="9"/>
      <c r="ED261" s="9"/>
      <c r="EE261" s="9"/>
      <c r="EF261" s="9"/>
      <c r="EG261" s="9"/>
      <c r="EH261" s="9"/>
      <c r="EI261" s="9"/>
      <c r="EJ261" s="9"/>
      <c r="EK261" s="9"/>
      <c r="EL261" s="9"/>
      <c r="EM261" s="9"/>
      <c r="EN261" s="9"/>
      <c r="EO261" s="9"/>
      <c r="EP261" s="9"/>
      <c r="EQ261" s="9"/>
      <c r="ER261" s="9"/>
      <c r="ES261" s="9"/>
      <c r="ET261" s="9"/>
      <c r="EU261" s="9"/>
      <c r="EV261" s="9"/>
      <c r="EW261" s="9"/>
      <c r="EX261" s="9"/>
      <c r="EY261" s="9"/>
      <c r="EZ261" s="9"/>
      <c r="FA261" s="9"/>
      <c r="FB261" s="9"/>
      <c r="FC261" s="9"/>
      <c r="FD261" s="9"/>
      <c r="FE261" s="9"/>
      <c r="FF261" s="9"/>
      <c r="FG261" s="9"/>
      <c r="FH261" s="9"/>
      <c r="FI261" s="9"/>
    </row>
    <row r="262" spans="1:165" x14ac:dyDescent="0.2">
      <c r="A262" s="1" t="s">
        <v>1177</v>
      </c>
      <c r="B262" s="1" t="s">
        <v>1178</v>
      </c>
      <c r="C262" s="1" t="s">
        <v>267</v>
      </c>
      <c r="D262" s="1" t="str">
        <f>HYPERLINK("http://eros.fiehnlab.ucdavis.edu:8080/binbase-compound/bin/show/225923?db=rtx5","225923")</f>
        <v>225923</v>
      </c>
      <c r="E262" s="1" t="s">
        <v>1179</v>
      </c>
      <c r="F262" s="1" t="s">
        <v>184</v>
      </c>
      <c r="G262" s="1" t="s">
        <v>184</v>
      </c>
      <c r="H262" s="1"/>
      <c r="I262" s="8">
        <v>627</v>
      </c>
      <c r="J262" s="8">
        <v>441</v>
      </c>
      <c r="K262" s="8">
        <v>407</v>
      </c>
      <c r="L262" s="8">
        <v>570</v>
      </c>
      <c r="M262" s="8">
        <v>536</v>
      </c>
      <c r="N262" s="8">
        <v>668</v>
      </c>
      <c r="O262" s="8">
        <v>751</v>
      </c>
      <c r="P262" s="8">
        <v>571</v>
      </c>
      <c r="Q262" s="8">
        <v>887</v>
      </c>
      <c r="R262" s="8">
        <v>859</v>
      </c>
      <c r="S262" s="8">
        <v>998</v>
      </c>
      <c r="T262" s="8">
        <v>628</v>
      </c>
      <c r="U262" s="8">
        <v>1036</v>
      </c>
      <c r="V262" s="8">
        <v>921</v>
      </c>
      <c r="W262" s="8">
        <v>399</v>
      </c>
      <c r="X262" s="8">
        <v>714</v>
      </c>
      <c r="Y262" s="8">
        <v>589</v>
      </c>
      <c r="Z262" s="8">
        <v>452</v>
      </c>
      <c r="AA262" s="8">
        <v>430</v>
      </c>
      <c r="AB262" s="8">
        <v>556</v>
      </c>
      <c r="AC262" s="8">
        <v>843</v>
      </c>
      <c r="AD262" s="8">
        <v>915</v>
      </c>
      <c r="AE262" s="8">
        <v>701</v>
      </c>
      <c r="AF262" s="8">
        <v>630</v>
      </c>
      <c r="AG262" s="8">
        <v>1574</v>
      </c>
      <c r="AH262" s="8">
        <v>1330</v>
      </c>
      <c r="AI262" s="8">
        <v>533</v>
      </c>
      <c r="AJ262" s="8">
        <v>452</v>
      </c>
      <c r="AK262" s="8">
        <v>634</v>
      </c>
      <c r="AL262" s="8">
        <v>940</v>
      </c>
      <c r="AM262" s="8">
        <v>1759</v>
      </c>
      <c r="AN262" s="8">
        <v>756</v>
      </c>
      <c r="AO262" s="8">
        <v>657</v>
      </c>
      <c r="AP262" s="8">
        <v>815</v>
      </c>
      <c r="AQ262" s="8">
        <v>704</v>
      </c>
      <c r="AR262" s="8">
        <v>570</v>
      </c>
      <c r="AS262" s="8">
        <v>570</v>
      </c>
      <c r="AT262" s="8">
        <v>1505</v>
      </c>
      <c r="AU262" s="8">
        <v>588</v>
      </c>
      <c r="AV262" s="8">
        <v>523</v>
      </c>
      <c r="AW262" s="8">
        <v>582</v>
      </c>
      <c r="AX262" s="8">
        <v>560</v>
      </c>
      <c r="AY262" s="8">
        <v>1198</v>
      </c>
      <c r="AZ262" s="8">
        <v>665</v>
      </c>
      <c r="BA262" s="8">
        <v>645</v>
      </c>
      <c r="BB262" s="8">
        <v>445</v>
      </c>
      <c r="BC262" s="8">
        <v>846</v>
      </c>
      <c r="BD262" s="8">
        <v>512</v>
      </c>
      <c r="BE262" s="8">
        <v>714</v>
      </c>
      <c r="BF262" s="8">
        <v>504</v>
      </c>
      <c r="BG262" s="8">
        <v>687</v>
      </c>
      <c r="BH262" s="8">
        <v>417</v>
      </c>
      <c r="BI262" s="8">
        <v>831</v>
      </c>
      <c r="BJ262" s="8">
        <v>735</v>
      </c>
      <c r="BK262" s="8">
        <v>1645</v>
      </c>
      <c r="BL262" s="8">
        <v>894</v>
      </c>
      <c r="BM262" s="8">
        <v>1066</v>
      </c>
      <c r="BN262" s="8">
        <v>485</v>
      </c>
      <c r="BO262" s="8">
        <v>732</v>
      </c>
      <c r="BP262" s="8">
        <v>615</v>
      </c>
      <c r="BQ262" s="8">
        <v>707</v>
      </c>
      <c r="BR262" s="8">
        <v>1009</v>
      </c>
      <c r="BS262" s="8">
        <v>784</v>
      </c>
      <c r="BT262" s="8">
        <v>560</v>
      </c>
      <c r="BU262" s="8">
        <v>707</v>
      </c>
      <c r="BV262" s="8">
        <v>509</v>
      </c>
      <c r="BW262" s="8">
        <v>612</v>
      </c>
      <c r="BX262" s="8">
        <v>931</v>
      </c>
      <c r="BY262" s="8">
        <v>475</v>
      </c>
      <c r="BZ262" s="8">
        <v>836</v>
      </c>
      <c r="CA262" s="8">
        <v>693</v>
      </c>
      <c r="CB262" s="8">
        <v>589</v>
      </c>
      <c r="CC262" s="8">
        <v>615</v>
      </c>
      <c r="CD262" s="8">
        <v>1158</v>
      </c>
      <c r="CE262" s="8">
        <v>844</v>
      </c>
      <c r="CF262" s="8">
        <v>755</v>
      </c>
      <c r="CG262" s="8">
        <v>513</v>
      </c>
      <c r="CH262" s="8">
        <v>368</v>
      </c>
      <c r="CJ262" s="9"/>
      <c r="CK262" s="9"/>
      <c r="CL262" s="9"/>
      <c r="CM262" s="9"/>
      <c r="CN262" s="9"/>
      <c r="CO262" s="9"/>
      <c r="CP262" s="9"/>
      <c r="CQ262" s="9"/>
      <c r="CR262" s="9"/>
      <c r="CS262" s="9"/>
      <c r="CT262" s="9"/>
      <c r="CU262" s="9"/>
      <c r="CV262" s="9"/>
      <c r="CW262" s="9"/>
      <c r="CX262" s="9"/>
      <c r="CY262" s="9"/>
      <c r="CZ262" s="9"/>
      <c r="DA262" s="9"/>
      <c r="DB262" s="9"/>
      <c r="DC262" s="9"/>
      <c r="DD262" s="9"/>
      <c r="DE262" s="9"/>
      <c r="DF262" s="9"/>
      <c r="DG262" s="9"/>
      <c r="DH262" s="9"/>
      <c r="DI262" s="9"/>
      <c r="DJ262" s="9"/>
      <c r="DK262" s="9"/>
      <c r="DL262" s="9"/>
      <c r="DM262" s="9"/>
      <c r="DN262" s="9"/>
      <c r="DO262" s="9"/>
      <c r="DP262" s="9"/>
      <c r="DQ262" s="9"/>
      <c r="DR262" s="9"/>
      <c r="DS262" s="9"/>
      <c r="DT262" s="9"/>
      <c r="DU262" s="9"/>
      <c r="DV262" s="9"/>
      <c r="DW262" s="9"/>
      <c r="DX262" s="9"/>
      <c r="DY262" s="9"/>
      <c r="DZ262" s="9"/>
      <c r="EA262" s="9"/>
      <c r="EB262" s="9"/>
      <c r="EC262" s="9"/>
      <c r="ED262" s="9"/>
      <c r="EE262" s="9"/>
      <c r="EF262" s="9"/>
      <c r="EG262" s="9"/>
      <c r="EH262" s="9"/>
      <c r="EI262" s="9"/>
      <c r="EJ262" s="9"/>
      <c r="EK262" s="9"/>
      <c r="EL262" s="9"/>
      <c r="EM262" s="9"/>
      <c r="EN262" s="9"/>
      <c r="EO262" s="9"/>
      <c r="EP262" s="9"/>
      <c r="EQ262" s="9"/>
      <c r="ER262" s="9"/>
      <c r="ES262" s="9"/>
      <c r="ET262" s="9"/>
      <c r="EU262" s="9"/>
      <c r="EV262" s="9"/>
      <c r="EW262" s="9"/>
      <c r="EX262" s="9"/>
      <c r="EY262" s="9"/>
      <c r="EZ262" s="9"/>
      <c r="FA262" s="9"/>
      <c r="FB262" s="9"/>
      <c r="FC262" s="9"/>
      <c r="FD262" s="9"/>
      <c r="FE262" s="9"/>
      <c r="FF262" s="9"/>
      <c r="FG262" s="9"/>
      <c r="FH262" s="9"/>
      <c r="FI262" s="9"/>
    </row>
    <row r="263" spans="1:165" x14ac:dyDescent="0.2">
      <c r="A263" s="1" t="s">
        <v>980</v>
      </c>
      <c r="B263" s="1" t="s">
        <v>981</v>
      </c>
      <c r="C263" s="1" t="s">
        <v>292</v>
      </c>
      <c r="D263" s="1" t="str">
        <f>HYPERLINK("http://eros.fiehnlab.ucdavis.edu:8080/binbase-compound/bin/show/275292?db=rtx5","275292")</f>
        <v>275292</v>
      </c>
      <c r="E263" s="1" t="s">
        <v>982</v>
      </c>
      <c r="F263" s="1" t="s">
        <v>184</v>
      </c>
      <c r="G263" s="1" t="s">
        <v>184</v>
      </c>
      <c r="H263" s="1"/>
      <c r="I263" s="8">
        <v>5712</v>
      </c>
      <c r="J263" s="8">
        <v>5535</v>
      </c>
      <c r="K263" s="8">
        <v>3962</v>
      </c>
      <c r="L263" s="8">
        <v>4788</v>
      </c>
      <c r="M263" s="8">
        <v>4973</v>
      </c>
      <c r="N263" s="8">
        <v>5307</v>
      </c>
      <c r="O263" s="8">
        <v>4974</v>
      </c>
      <c r="P263" s="8">
        <v>4554</v>
      </c>
      <c r="Q263" s="8">
        <v>4999</v>
      </c>
      <c r="R263" s="8">
        <v>4914</v>
      </c>
      <c r="S263" s="8">
        <v>5177</v>
      </c>
      <c r="T263" s="8">
        <v>4501</v>
      </c>
      <c r="U263" s="8">
        <v>4771</v>
      </c>
      <c r="V263" s="8">
        <v>5293</v>
      </c>
      <c r="W263" s="8">
        <v>4451</v>
      </c>
      <c r="X263" s="8">
        <v>5594</v>
      </c>
      <c r="Y263" s="8">
        <v>4539</v>
      </c>
      <c r="Z263" s="8">
        <v>4805</v>
      </c>
      <c r="AA263" s="8">
        <v>4612</v>
      </c>
      <c r="AB263" s="8">
        <v>4754</v>
      </c>
      <c r="AC263" s="8">
        <v>4743</v>
      </c>
      <c r="AD263" s="8">
        <v>4462</v>
      </c>
      <c r="AE263" s="8">
        <v>4825</v>
      </c>
      <c r="AF263" s="8">
        <v>4364</v>
      </c>
      <c r="AG263" s="8">
        <v>4629</v>
      </c>
      <c r="AH263" s="8">
        <v>4734</v>
      </c>
      <c r="AI263" s="8">
        <v>4806</v>
      </c>
      <c r="AJ263" s="8">
        <v>5475</v>
      </c>
      <c r="AK263" s="8">
        <v>4395</v>
      </c>
      <c r="AL263" s="8">
        <v>4466</v>
      </c>
      <c r="AM263" s="8">
        <v>5380</v>
      </c>
      <c r="AN263" s="8">
        <v>6265</v>
      </c>
      <c r="AO263" s="8">
        <v>4882</v>
      </c>
      <c r="AP263" s="8">
        <v>5347</v>
      </c>
      <c r="AQ263" s="8">
        <v>5626</v>
      </c>
      <c r="AR263" s="8">
        <v>4616</v>
      </c>
      <c r="AS263" s="8">
        <v>5731</v>
      </c>
      <c r="AT263" s="8">
        <v>5780</v>
      </c>
      <c r="AU263" s="8">
        <v>5718</v>
      </c>
      <c r="AV263" s="8">
        <v>5383</v>
      </c>
      <c r="AW263" s="8">
        <v>6255</v>
      </c>
      <c r="AX263" s="8">
        <v>4932</v>
      </c>
      <c r="AY263" s="8">
        <v>4918</v>
      </c>
      <c r="AZ263" s="8">
        <v>6392</v>
      </c>
      <c r="BA263" s="8">
        <v>6002</v>
      </c>
      <c r="BB263" s="8">
        <v>5636</v>
      </c>
      <c r="BC263" s="8">
        <v>4754</v>
      </c>
      <c r="BD263" s="8">
        <v>4877</v>
      </c>
      <c r="BE263" s="8">
        <v>4887</v>
      </c>
      <c r="BF263" s="8">
        <v>4809</v>
      </c>
      <c r="BG263" s="8">
        <v>4137</v>
      </c>
      <c r="BH263" s="8">
        <v>4631</v>
      </c>
      <c r="BI263" s="8">
        <v>4864</v>
      </c>
      <c r="BJ263" s="8">
        <v>4815</v>
      </c>
      <c r="BK263" s="8">
        <v>5501</v>
      </c>
      <c r="BL263" s="8">
        <v>5129</v>
      </c>
      <c r="BM263" s="8">
        <v>5521</v>
      </c>
      <c r="BN263" s="8">
        <v>5921</v>
      </c>
      <c r="BO263" s="8">
        <v>5746</v>
      </c>
      <c r="BP263" s="8">
        <v>4937</v>
      </c>
      <c r="BQ263" s="8">
        <v>6331</v>
      </c>
      <c r="BR263" s="8">
        <v>5733</v>
      </c>
      <c r="BS263" s="8">
        <v>5703</v>
      </c>
      <c r="BT263" s="8">
        <v>5059</v>
      </c>
      <c r="BU263" s="8">
        <v>5541</v>
      </c>
      <c r="BV263" s="8">
        <v>5265</v>
      </c>
      <c r="BW263" s="8">
        <v>5263</v>
      </c>
      <c r="BX263" s="8">
        <v>4888</v>
      </c>
      <c r="BY263" s="8">
        <v>4883</v>
      </c>
      <c r="BZ263" s="8">
        <v>5359</v>
      </c>
      <c r="CA263" s="8">
        <v>4716</v>
      </c>
      <c r="CB263" s="8">
        <v>4928</v>
      </c>
      <c r="CC263" s="8">
        <v>5279</v>
      </c>
      <c r="CD263" s="8">
        <v>6676</v>
      </c>
      <c r="CE263" s="8">
        <v>4929</v>
      </c>
      <c r="CF263" s="8">
        <v>5002</v>
      </c>
      <c r="CG263" s="8">
        <v>4967</v>
      </c>
      <c r="CH263" s="8">
        <v>5044</v>
      </c>
      <c r="CJ263" s="9"/>
      <c r="CK263" s="9"/>
      <c r="CL263" s="9"/>
      <c r="CM263" s="9"/>
      <c r="CN263" s="9"/>
      <c r="CO263" s="9"/>
      <c r="CP263" s="9"/>
      <c r="CQ263" s="9"/>
      <c r="CR263" s="9"/>
      <c r="CS263" s="9"/>
      <c r="CT263" s="9"/>
      <c r="CU263" s="9"/>
      <c r="CV263" s="9"/>
      <c r="CW263" s="9"/>
      <c r="CX263" s="9"/>
      <c r="CY263" s="9"/>
      <c r="CZ263" s="9"/>
      <c r="DA263" s="9"/>
      <c r="DB263" s="9"/>
      <c r="DC263" s="9"/>
      <c r="DD263" s="9"/>
      <c r="DE263" s="9"/>
      <c r="DF263" s="9"/>
      <c r="DG263" s="9"/>
      <c r="DH263" s="9"/>
      <c r="DI263" s="9"/>
      <c r="DJ263" s="9"/>
      <c r="DK263" s="9"/>
      <c r="DL263" s="9"/>
      <c r="DM263" s="9"/>
      <c r="DN263" s="9"/>
      <c r="DO263" s="9"/>
      <c r="DP263" s="9"/>
      <c r="DQ263" s="9"/>
      <c r="DR263" s="9"/>
      <c r="DS263" s="9"/>
      <c r="DT263" s="9"/>
      <c r="DU263" s="9"/>
      <c r="DV263" s="9"/>
      <c r="DW263" s="9"/>
      <c r="DX263" s="9"/>
      <c r="DY263" s="9"/>
      <c r="DZ263" s="9"/>
      <c r="EA263" s="9"/>
      <c r="EB263" s="9"/>
      <c r="EC263" s="9"/>
      <c r="ED263" s="9"/>
      <c r="EE263" s="9"/>
      <c r="EF263" s="9"/>
      <c r="EG263" s="9"/>
      <c r="EH263" s="9"/>
      <c r="EI263" s="9"/>
      <c r="EJ263" s="9"/>
      <c r="EK263" s="9"/>
      <c r="EL263" s="9"/>
      <c r="EM263" s="9"/>
      <c r="EN263" s="9"/>
      <c r="EO263" s="9"/>
      <c r="EP263" s="9"/>
      <c r="EQ263" s="9"/>
      <c r="ER263" s="9"/>
      <c r="ES263" s="9"/>
      <c r="ET263" s="9"/>
      <c r="EU263" s="9"/>
      <c r="EV263" s="9"/>
      <c r="EW263" s="9"/>
      <c r="EX263" s="9"/>
      <c r="EY263" s="9"/>
      <c r="EZ263" s="9"/>
      <c r="FA263" s="9"/>
      <c r="FB263" s="9"/>
      <c r="FC263" s="9"/>
      <c r="FD263" s="9"/>
      <c r="FE263" s="9"/>
      <c r="FF263" s="9"/>
      <c r="FG263" s="9"/>
      <c r="FH263" s="9"/>
      <c r="FI263" s="9"/>
    </row>
    <row r="264" spans="1:165" x14ac:dyDescent="0.2">
      <c r="A264" s="1" t="s">
        <v>898</v>
      </c>
      <c r="B264" s="1" t="s">
        <v>899</v>
      </c>
      <c r="C264" s="1" t="s">
        <v>848</v>
      </c>
      <c r="D264" s="1" t="str">
        <f>HYPERLINK("http://eros.fiehnlab.ucdavis.edu:8080/binbase-compound/bin/show/300280?db=rtx5","300280")</f>
        <v>300280</v>
      </c>
      <c r="E264" s="1" t="s">
        <v>900</v>
      </c>
      <c r="F264" s="1" t="s">
        <v>184</v>
      </c>
      <c r="G264" s="1" t="s">
        <v>184</v>
      </c>
      <c r="H264" s="1"/>
      <c r="I264" s="8">
        <v>1061</v>
      </c>
      <c r="J264" s="8">
        <v>834</v>
      </c>
      <c r="K264" s="8">
        <v>983</v>
      </c>
      <c r="L264" s="8">
        <v>884</v>
      </c>
      <c r="M264" s="8">
        <v>1213</v>
      </c>
      <c r="N264" s="8">
        <v>1111</v>
      </c>
      <c r="O264" s="8">
        <v>805</v>
      </c>
      <c r="P264" s="8">
        <v>997</v>
      </c>
      <c r="Q264" s="8">
        <v>721</v>
      </c>
      <c r="R264" s="8">
        <v>1401</v>
      </c>
      <c r="S264" s="8">
        <v>1584</v>
      </c>
      <c r="T264" s="8">
        <v>1112</v>
      </c>
      <c r="U264" s="8">
        <v>777</v>
      </c>
      <c r="V264" s="8">
        <v>839</v>
      </c>
      <c r="W264" s="8">
        <v>1053</v>
      </c>
      <c r="X264" s="8">
        <v>763</v>
      </c>
      <c r="Y264" s="8">
        <v>1059</v>
      </c>
      <c r="Z264" s="8">
        <v>736</v>
      </c>
      <c r="AA264" s="8">
        <v>585</v>
      </c>
      <c r="AB264" s="8">
        <v>833</v>
      </c>
      <c r="AC264" s="8">
        <v>845</v>
      </c>
      <c r="AD264" s="8">
        <v>920</v>
      </c>
      <c r="AE264" s="8">
        <v>1153</v>
      </c>
      <c r="AF264" s="8">
        <v>917</v>
      </c>
      <c r="AG264" s="8">
        <v>653</v>
      </c>
      <c r="AH264" s="8">
        <v>641</v>
      </c>
      <c r="AI264" s="8">
        <v>841</v>
      </c>
      <c r="AJ264" s="8">
        <v>1633</v>
      </c>
      <c r="AK264" s="8">
        <v>973</v>
      </c>
      <c r="AL264" s="8">
        <v>884</v>
      </c>
      <c r="AM264" s="8">
        <v>1025</v>
      </c>
      <c r="AN264" s="8">
        <v>1063</v>
      </c>
      <c r="AO264" s="8">
        <v>1188</v>
      </c>
      <c r="AP264" s="8">
        <v>1603</v>
      </c>
      <c r="AQ264" s="8">
        <v>1120</v>
      </c>
      <c r="AR264" s="8">
        <v>1213</v>
      </c>
      <c r="AS264" s="8">
        <v>1243</v>
      </c>
      <c r="AT264" s="8">
        <v>952</v>
      </c>
      <c r="AU264" s="8">
        <v>950</v>
      </c>
      <c r="AV264" s="8">
        <v>822</v>
      </c>
      <c r="AW264" s="8">
        <v>1033</v>
      </c>
      <c r="AX264" s="8">
        <v>1000</v>
      </c>
      <c r="AY264" s="8">
        <v>967</v>
      </c>
      <c r="AZ264" s="8">
        <v>1230</v>
      </c>
      <c r="BA264" s="8">
        <v>587</v>
      </c>
      <c r="BB264" s="8">
        <v>1667</v>
      </c>
      <c r="BC264" s="8">
        <v>1152</v>
      </c>
      <c r="BD264" s="8">
        <v>896</v>
      </c>
      <c r="BE264" s="8">
        <v>922</v>
      </c>
      <c r="BF264" s="8">
        <v>854</v>
      </c>
      <c r="BG264" s="8">
        <v>791</v>
      </c>
      <c r="BH264" s="8">
        <v>593</v>
      </c>
      <c r="BI264" s="8">
        <v>1055</v>
      </c>
      <c r="BJ264" s="8">
        <v>1058</v>
      </c>
      <c r="BK264" s="8">
        <v>1128</v>
      </c>
      <c r="BL264" s="8">
        <v>928</v>
      </c>
      <c r="BM264" s="8">
        <v>963</v>
      </c>
      <c r="BN264" s="8">
        <v>634</v>
      </c>
      <c r="BO264" s="8">
        <v>1374</v>
      </c>
      <c r="BP264" s="8">
        <v>1424</v>
      </c>
      <c r="BQ264" s="8">
        <v>819</v>
      </c>
      <c r="BR264" s="8">
        <v>971</v>
      </c>
      <c r="BS264" s="8">
        <v>935</v>
      </c>
      <c r="BT264" s="8">
        <v>1189</v>
      </c>
      <c r="BU264" s="8">
        <v>1047</v>
      </c>
      <c r="BV264" s="8">
        <v>1509</v>
      </c>
      <c r="BW264" s="8">
        <v>1013</v>
      </c>
      <c r="BX264" s="8">
        <v>763</v>
      </c>
      <c r="BY264" s="8">
        <v>778</v>
      </c>
      <c r="BZ264" s="8">
        <v>908</v>
      </c>
      <c r="CA264" s="8">
        <v>876</v>
      </c>
      <c r="CB264" s="8">
        <v>645</v>
      </c>
      <c r="CC264" s="8">
        <v>730</v>
      </c>
      <c r="CD264" s="8">
        <v>620</v>
      </c>
      <c r="CE264" s="8">
        <v>919</v>
      </c>
      <c r="CF264" s="8">
        <v>727</v>
      </c>
      <c r="CG264" s="8">
        <v>1177</v>
      </c>
      <c r="CH264" s="8">
        <v>1413</v>
      </c>
      <c r="CJ264" s="9"/>
      <c r="CK264" s="9"/>
      <c r="CL264" s="9"/>
      <c r="CM264" s="9"/>
      <c r="CN264" s="9"/>
      <c r="CO264" s="9"/>
      <c r="CP264" s="9"/>
      <c r="CQ264" s="9"/>
      <c r="CR264" s="9"/>
      <c r="CS264" s="9"/>
      <c r="CT264" s="9"/>
      <c r="CU264" s="9"/>
      <c r="CV264" s="9"/>
      <c r="CW264" s="9"/>
      <c r="CX264" s="9"/>
      <c r="CY264" s="9"/>
      <c r="CZ264" s="9"/>
      <c r="DA264" s="9"/>
      <c r="DB264" s="9"/>
      <c r="DC264" s="9"/>
      <c r="DD264" s="9"/>
      <c r="DE264" s="9"/>
      <c r="DF264" s="9"/>
      <c r="DG264" s="9"/>
      <c r="DH264" s="9"/>
      <c r="DI264" s="9"/>
      <c r="DJ264" s="9"/>
      <c r="DK264" s="9"/>
      <c r="DL264" s="9"/>
      <c r="DM264" s="9"/>
      <c r="DN264" s="9"/>
      <c r="DO264" s="9"/>
      <c r="DP264" s="9"/>
      <c r="DQ264" s="9"/>
      <c r="DR264" s="9"/>
      <c r="DS264" s="9"/>
      <c r="DT264" s="9"/>
      <c r="DU264" s="9"/>
      <c r="DV264" s="9"/>
      <c r="DW264" s="9"/>
      <c r="DX264" s="9"/>
      <c r="DY264" s="9"/>
      <c r="DZ264" s="9"/>
      <c r="EA264" s="9"/>
      <c r="EB264" s="9"/>
      <c r="EC264" s="9"/>
      <c r="ED264" s="9"/>
      <c r="EE264" s="9"/>
      <c r="EF264" s="9"/>
      <c r="EG264" s="9"/>
      <c r="EH264" s="9"/>
      <c r="EI264" s="9"/>
      <c r="EJ264" s="9"/>
      <c r="EK264" s="9"/>
      <c r="EL264" s="9"/>
      <c r="EM264" s="9"/>
      <c r="EN264" s="9"/>
      <c r="EO264" s="9"/>
      <c r="EP264" s="9"/>
      <c r="EQ264" s="9"/>
      <c r="ER264" s="9"/>
      <c r="ES264" s="9"/>
      <c r="ET264" s="9"/>
      <c r="EU264" s="9"/>
      <c r="EV264" s="9"/>
      <c r="EW264" s="9"/>
      <c r="EX264" s="9"/>
      <c r="EY264" s="9"/>
      <c r="EZ264" s="9"/>
      <c r="FA264" s="9"/>
      <c r="FB264" s="9"/>
      <c r="FC264" s="9"/>
      <c r="FD264" s="9"/>
      <c r="FE264" s="9"/>
      <c r="FF264" s="9"/>
      <c r="FG264" s="9"/>
      <c r="FH264" s="9"/>
      <c r="FI264" s="9"/>
    </row>
    <row r="265" spans="1:165" x14ac:dyDescent="0.2">
      <c r="A265" s="1" t="s">
        <v>1186</v>
      </c>
      <c r="B265" s="1" t="s">
        <v>1187</v>
      </c>
      <c r="C265" s="1" t="s">
        <v>297</v>
      </c>
      <c r="D265" s="1" t="str">
        <f>HYPERLINK("http://eros.fiehnlab.ucdavis.edu:8080/binbase-compound/bin/show/225283?db=rtx5","225283")</f>
        <v>225283</v>
      </c>
      <c r="E265" s="1" t="s">
        <v>1188</v>
      </c>
      <c r="F265" s="1" t="s">
        <v>184</v>
      </c>
      <c r="G265" s="1" t="s">
        <v>184</v>
      </c>
      <c r="H265" s="1"/>
      <c r="I265" s="8">
        <v>739</v>
      </c>
      <c r="J265" s="8">
        <v>749</v>
      </c>
      <c r="K265" s="8">
        <v>836</v>
      </c>
      <c r="L265" s="8">
        <v>629</v>
      </c>
      <c r="M265" s="8">
        <v>900</v>
      </c>
      <c r="N265" s="8">
        <v>722</v>
      </c>
      <c r="O265" s="8">
        <v>597</v>
      </c>
      <c r="P265" s="8">
        <v>841</v>
      </c>
      <c r="Q265" s="8">
        <v>838</v>
      </c>
      <c r="R265" s="8">
        <v>871</v>
      </c>
      <c r="S265" s="8">
        <v>895</v>
      </c>
      <c r="T265" s="8">
        <v>671</v>
      </c>
      <c r="U265" s="8">
        <v>467</v>
      </c>
      <c r="V265" s="8">
        <v>645</v>
      </c>
      <c r="W265" s="8">
        <v>598</v>
      </c>
      <c r="X265" s="8">
        <v>795</v>
      </c>
      <c r="Y265" s="8">
        <v>551</v>
      </c>
      <c r="Z265" s="8">
        <v>680</v>
      </c>
      <c r="AA265" s="8">
        <v>451</v>
      </c>
      <c r="AB265" s="8">
        <v>611</v>
      </c>
      <c r="AC265" s="8">
        <v>734</v>
      </c>
      <c r="AD265" s="8">
        <v>513</v>
      </c>
      <c r="AE265" s="8">
        <v>599</v>
      </c>
      <c r="AF265" s="8">
        <v>711</v>
      </c>
      <c r="AG265" s="8">
        <v>514</v>
      </c>
      <c r="AH265" s="8">
        <v>614</v>
      </c>
      <c r="AI265" s="8">
        <v>709</v>
      </c>
      <c r="AJ265" s="8">
        <v>782</v>
      </c>
      <c r="AK265" s="8">
        <v>643</v>
      </c>
      <c r="AL265" s="8">
        <v>1114</v>
      </c>
      <c r="AM265" s="8">
        <v>1057</v>
      </c>
      <c r="AN265" s="8">
        <v>856</v>
      </c>
      <c r="AO265" s="8">
        <v>724</v>
      </c>
      <c r="AP265" s="8">
        <v>984</v>
      </c>
      <c r="AQ265" s="8">
        <v>784</v>
      </c>
      <c r="AR265" s="8">
        <v>692</v>
      </c>
      <c r="AS265" s="8">
        <v>830</v>
      </c>
      <c r="AT265" s="8">
        <v>674</v>
      </c>
      <c r="AU265" s="8">
        <v>711</v>
      </c>
      <c r="AV265" s="8">
        <v>640</v>
      </c>
      <c r="AW265" s="8">
        <v>856</v>
      </c>
      <c r="AX265" s="8">
        <v>1010</v>
      </c>
      <c r="AY265" s="8">
        <v>826</v>
      </c>
      <c r="AZ265" s="8">
        <v>630</v>
      </c>
      <c r="BA265" s="8">
        <v>875</v>
      </c>
      <c r="BB265" s="8">
        <v>889</v>
      </c>
      <c r="BC265" s="8">
        <v>829</v>
      </c>
      <c r="BD265" s="8">
        <v>909</v>
      </c>
      <c r="BE265" s="8">
        <v>759</v>
      </c>
      <c r="BF265" s="8">
        <v>754</v>
      </c>
      <c r="BG265" s="8">
        <v>653</v>
      </c>
      <c r="BH265" s="8">
        <v>636</v>
      </c>
      <c r="BI265" s="8">
        <v>799</v>
      </c>
      <c r="BJ265" s="8">
        <v>734</v>
      </c>
      <c r="BK265" s="8">
        <v>800</v>
      </c>
      <c r="BL265" s="8">
        <v>772</v>
      </c>
      <c r="BM265" s="8">
        <v>1006</v>
      </c>
      <c r="BN265" s="8">
        <v>607</v>
      </c>
      <c r="BO265" s="8">
        <v>682</v>
      </c>
      <c r="BP265" s="8">
        <v>854</v>
      </c>
      <c r="BQ265" s="8">
        <v>844</v>
      </c>
      <c r="BR265" s="8">
        <v>606</v>
      </c>
      <c r="BS265" s="8">
        <v>724</v>
      </c>
      <c r="BT265" s="8">
        <v>814</v>
      </c>
      <c r="BU265" s="8">
        <v>692</v>
      </c>
      <c r="BV265" s="8">
        <v>668</v>
      </c>
      <c r="BW265" s="8">
        <v>605</v>
      </c>
      <c r="BX265" s="8">
        <v>643</v>
      </c>
      <c r="BY265" s="8">
        <v>721</v>
      </c>
      <c r="BZ265" s="8">
        <v>706</v>
      </c>
      <c r="CA265" s="8">
        <v>833</v>
      </c>
      <c r="CB265" s="8">
        <v>630</v>
      </c>
      <c r="CC265" s="8">
        <v>589</v>
      </c>
      <c r="CD265" s="8">
        <v>6770</v>
      </c>
      <c r="CE265" s="8">
        <v>678</v>
      </c>
      <c r="CF265" s="8">
        <v>671</v>
      </c>
      <c r="CG265" s="8">
        <v>666</v>
      </c>
      <c r="CH265" s="8">
        <v>704</v>
      </c>
      <c r="CJ265" s="9"/>
      <c r="CK265" s="9"/>
      <c r="CL265" s="9"/>
      <c r="CM265" s="9"/>
      <c r="CN265" s="9"/>
      <c r="CO265" s="9"/>
      <c r="CP265" s="9"/>
      <c r="CQ265" s="9"/>
      <c r="CR265" s="9"/>
      <c r="CS265" s="9"/>
      <c r="CT265" s="9"/>
      <c r="CU265" s="9"/>
      <c r="CV265" s="9"/>
      <c r="CW265" s="9"/>
      <c r="CX265" s="9"/>
      <c r="CY265" s="9"/>
      <c r="CZ265" s="9"/>
      <c r="DA265" s="9"/>
      <c r="DB265" s="9"/>
      <c r="DC265" s="9"/>
      <c r="DD265" s="9"/>
      <c r="DE265" s="9"/>
      <c r="DF265" s="9"/>
      <c r="DG265" s="9"/>
      <c r="DH265" s="9"/>
      <c r="DI265" s="9"/>
      <c r="DJ265" s="9"/>
      <c r="DK265" s="9"/>
      <c r="DL265" s="9"/>
      <c r="DM265" s="9"/>
      <c r="DN265" s="9"/>
      <c r="DO265" s="9"/>
      <c r="DP265" s="9"/>
      <c r="DQ265" s="9"/>
      <c r="DR265" s="9"/>
      <c r="DS265" s="9"/>
      <c r="DT265" s="9"/>
      <c r="DU265" s="9"/>
      <c r="DV265" s="9"/>
      <c r="DW265" s="9"/>
      <c r="DX265" s="9"/>
      <c r="DY265" s="9"/>
      <c r="DZ265" s="9"/>
      <c r="EA265" s="9"/>
      <c r="EB265" s="9"/>
      <c r="EC265" s="9"/>
      <c r="ED265" s="9"/>
      <c r="EE265" s="9"/>
      <c r="EF265" s="9"/>
      <c r="EG265" s="9"/>
      <c r="EH265" s="9"/>
      <c r="EI265" s="9"/>
      <c r="EJ265" s="9"/>
      <c r="EK265" s="9"/>
      <c r="EL265" s="9"/>
      <c r="EM265" s="9"/>
      <c r="EN265" s="9"/>
      <c r="EO265" s="9"/>
      <c r="EP265" s="9"/>
      <c r="EQ265" s="9"/>
      <c r="ER265" s="9"/>
      <c r="ES265" s="9"/>
      <c r="ET265" s="9"/>
      <c r="EU265" s="9"/>
      <c r="EV265" s="9"/>
      <c r="EW265" s="9"/>
      <c r="EX265" s="9"/>
      <c r="EY265" s="9"/>
      <c r="EZ265" s="9"/>
      <c r="FA265" s="9"/>
      <c r="FB265" s="9"/>
      <c r="FC265" s="9"/>
      <c r="FD265" s="9"/>
      <c r="FE265" s="9"/>
      <c r="FF265" s="9"/>
      <c r="FG265" s="9"/>
      <c r="FH265" s="9"/>
      <c r="FI265" s="9"/>
    </row>
    <row r="266" spans="1:165" x14ac:dyDescent="0.2">
      <c r="A266" s="1" t="s">
        <v>1296</v>
      </c>
      <c r="B266" s="1" t="s">
        <v>1297</v>
      </c>
      <c r="C266" s="1" t="s">
        <v>534</v>
      </c>
      <c r="D266" s="1" t="str">
        <f>HYPERLINK("http://eros.fiehnlab.ucdavis.edu:8080/binbase-compound/bin/show/213160?db=rtx5","213160")</f>
        <v>213160</v>
      </c>
      <c r="E266" s="1" t="s">
        <v>1298</v>
      </c>
      <c r="F266" s="1" t="s">
        <v>184</v>
      </c>
      <c r="G266" s="1" t="s">
        <v>184</v>
      </c>
      <c r="H266" s="1"/>
      <c r="I266" s="8">
        <v>1183</v>
      </c>
      <c r="J266" s="8">
        <v>1187</v>
      </c>
      <c r="K266" s="8">
        <v>1304</v>
      </c>
      <c r="L266" s="8">
        <v>1052</v>
      </c>
      <c r="M266" s="8">
        <v>1399</v>
      </c>
      <c r="N266" s="8">
        <v>1143</v>
      </c>
      <c r="O266" s="8">
        <v>387</v>
      </c>
      <c r="P266" s="8">
        <v>513</v>
      </c>
      <c r="Q266" s="8">
        <v>227</v>
      </c>
      <c r="R266" s="8">
        <v>384</v>
      </c>
      <c r="S266" s="8">
        <v>377</v>
      </c>
      <c r="T266" s="8">
        <v>728</v>
      </c>
      <c r="U266" s="8">
        <v>360</v>
      </c>
      <c r="V266" s="8">
        <v>174</v>
      </c>
      <c r="W266" s="8">
        <v>187</v>
      </c>
      <c r="X266" s="8">
        <v>301</v>
      </c>
      <c r="Y266" s="8">
        <v>315</v>
      </c>
      <c r="Z266" s="8">
        <v>424</v>
      </c>
      <c r="AA266" s="8">
        <v>100</v>
      </c>
      <c r="AB266" s="8">
        <v>177</v>
      </c>
      <c r="AC266" s="8">
        <v>122</v>
      </c>
      <c r="AD266" s="8">
        <v>188</v>
      </c>
      <c r="AE266" s="8">
        <v>117</v>
      </c>
      <c r="AF266" s="8">
        <v>160</v>
      </c>
      <c r="AG266" s="8">
        <v>191</v>
      </c>
      <c r="AH266" s="8">
        <v>217</v>
      </c>
      <c r="AI266" s="8">
        <v>267</v>
      </c>
      <c r="AJ266" s="8">
        <v>150</v>
      </c>
      <c r="AK266" s="8">
        <v>312</v>
      </c>
      <c r="AL266" s="8">
        <v>272</v>
      </c>
      <c r="AM266" s="8">
        <v>336</v>
      </c>
      <c r="AN266" s="8">
        <v>329</v>
      </c>
      <c r="AO266" s="8">
        <v>334</v>
      </c>
      <c r="AP266" s="8">
        <v>318</v>
      </c>
      <c r="AQ266" s="8">
        <v>183</v>
      </c>
      <c r="AR266" s="8">
        <v>482</v>
      </c>
      <c r="AS266" s="8">
        <v>271</v>
      </c>
      <c r="AT266" s="8">
        <v>312</v>
      </c>
      <c r="AU266" s="8">
        <v>450</v>
      </c>
      <c r="AV266" s="8">
        <v>585</v>
      </c>
      <c r="AW266" s="8">
        <v>138</v>
      </c>
      <c r="AX266" s="8">
        <v>418</v>
      </c>
      <c r="AY266" s="8">
        <v>157</v>
      </c>
      <c r="AZ266" s="8">
        <v>90</v>
      </c>
      <c r="BA266" s="8">
        <v>137</v>
      </c>
      <c r="BB266" s="8">
        <v>168</v>
      </c>
      <c r="BC266" s="8">
        <v>111</v>
      </c>
      <c r="BD266" s="8">
        <v>203</v>
      </c>
      <c r="BE266" s="8">
        <v>226</v>
      </c>
      <c r="BF266" s="8">
        <v>328</v>
      </c>
      <c r="BG266" s="8">
        <v>367</v>
      </c>
      <c r="BH266" s="8">
        <v>212</v>
      </c>
      <c r="BI266" s="8">
        <v>222</v>
      </c>
      <c r="BJ266" s="8">
        <v>278</v>
      </c>
      <c r="BK266" s="8">
        <v>335</v>
      </c>
      <c r="BL266" s="8">
        <v>528</v>
      </c>
      <c r="BM266" s="8">
        <v>309</v>
      </c>
      <c r="BN266" s="8">
        <v>135</v>
      </c>
      <c r="BO266" s="8">
        <v>183</v>
      </c>
      <c r="BP266" s="8">
        <v>238</v>
      </c>
      <c r="BQ266" s="8">
        <v>190</v>
      </c>
      <c r="BR266" s="8">
        <v>199</v>
      </c>
      <c r="BS266" s="8">
        <v>240</v>
      </c>
      <c r="BT266" s="8">
        <v>295</v>
      </c>
      <c r="BU266" s="8">
        <v>380</v>
      </c>
      <c r="BV266" s="8">
        <v>342</v>
      </c>
      <c r="BW266" s="8">
        <v>127</v>
      </c>
      <c r="BX266" s="8">
        <v>150</v>
      </c>
      <c r="BY266" s="8">
        <v>197</v>
      </c>
      <c r="BZ266" s="8">
        <v>95</v>
      </c>
      <c r="CA266" s="8">
        <v>126</v>
      </c>
      <c r="CB266" s="8">
        <v>166</v>
      </c>
      <c r="CC266" s="8">
        <v>244</v>
      </c>
      <c r="CD266" s="8">
        <v>140</v>
      </c>
      <c r="CE266" s="8">
        <v>206</v>
      </c>
      <c r="CF266" s="8">
        <v>266</v>
      </c>
      <c r="CG266" s="8">
        <v>171</v>
      </c>
      <c r="CH266" s="8">
        <v>197</v>
      </c>
      <c r="CJ266" s="9"/>
      <c r="CK266" s="9"/>
      <c r="CL266" s="9"/>
      <c r="CM266" s="9"/>
      <c r="CN266" s="9"/>
      <c r="CO266" s="9"/>
      <c r="CP266" s="9"/>
      <c r="CQ266" s="9"/>
      <c r="CR266" s="9"/>
      <c r="CS266" s="9"/>
      <c r="CT266" s="9"/>
      <c r="CU266" s="9"/>
      <c r="CV266" s="9"/>
      <c r="CW266" s="9"/>
      <c r="CX266" s="9"/>
      <c r="CY266" s="9"/>
      <c r="CZ266" s="9"/>
      <c r="DA266" s="9"/>
      <c r="DB266" s="9"/>
      <c r="DC266" s="9"/>
      <c r="DD266" s="9"/>
      <c r="DE266" s="9"/>
      <c r="DF266" s="9"/>
      <c r="DG266" s="9"/>
      <c r="DH266" s="9"/>
      <c r="DI266" s="9"/>
      <c r="DJ266" s="9"/>
      <c r="DK266" s="9"/>
      <c r="DL266" s="9"/>
      <c r="DM266" s="9"/>
      <c r="DN266" s="9"/>
      <c r="DO266" s="9"/>
      <c r="DP266" s="9"/>
      <c r="DQ266" s="9"/>
      <c r="DR266" s="9"/>
      <c r="DS266" s="9"/>
      <c r="DT266" s="9"/>
      <c r="DU266" s="9"/>
      <c r="DV266" s="9"/>
      <c r="DW266" s="9"/>
      <c r="DX266" s="9"/>
      <c r="DY266" s="9"/>
      <c r="DZ266" s="9"/>
      <c r="EA266" s="9"/>
      <c r="EB266" s="9"/>
      <c r="EC266" s="9"/>
      <c r="ED266" s="9"/>
      <c r="EE266" s="9"/>
      <c r="EF266" s="9"/>
      <c r="EG266" s="9"/>
      <c r="EH266" s="9"/>
      <c r="EI266" s="9"/>
      <c r="EJ266" s="9"/>
      <c r="EK266" s="9"/>
      <c r="EL266" s="9"/>
      <c r="EM266" s="9"/>
      <c r="EN266" s="9"/>
      <c r="EO266" s="9"/>
      <c r="EP266" s="9"/>
      <c r="EQ266" s="9"/>
      <c r="ER266" s="9"/>
      <c r="ES266" s="9"/>
      <c r="ET266" s="9"/>
      <c r="EU266" s="9"/>
      <c r="EV266" s="9"/>
      <c r="EW266" s="9"/>
      <c r="EX266" s="9"/>
      <c r="EY266" s="9"/>
      <c r="EZ266" s="9"/>
      <c r="FA266" s="9"/>
      <c r="FB266" s="9"/>
      <c r="FC266" s="9"/>
      <c r="FD266" s="9"/>
      <c r="FE266" s="9"/>
      <c r="FF266" s="9"/>
      <c r="FG266" s="9"/>
      <c r="FH266" s="9"/>
      <c r="FI266" s="9"/>
    </row>
    <row r="267" spans="1:165" x14ac:dyDescent="0.2">
      <c r="A267" s="1" t="s">
        <v>1317</v>
      </c>
      <c r="B267" s="1" t="s">
        <v>1318</v>
      </c>
      <c r="C267" s="1" t="s">
        <v>378</v>
      </c>
      <c r="D267" s="1" t="str">
        <f>HYPERLINK("http://eros.fiehnlab.ucdavis.edu:8080/binbase-compound/bin/show/207223?db=rtx5","207223")</f>
        <v>207223</v>
      </c>
      <c r="E267" s="1" t="s">
        <v>1319</v>
      </c>
      <c r="F267" s="1" t="s">
        <v>184</v>
      </c>
      <c r="G267" s="1" t="s">
        <v>184</v>
      </c>
      <c r="H267" s="1"/>
      <c r="I267" s="8">
        <v>1671</v>
      </c>
      <c r="J267" s="8">
        <v>1066</v>
      </c>
      <c r="K267" s="8">
        <v>938</v>
      </c>
      <c r="L267" s="8">
        <v>941</v>
      </c>
      <c r="M267" s="8">
        <v>188</v>
      </c>
      <c r="N267" s="8">
        <v>208</v>
      </c>
      <c r="O267" s="8">
        <v>846</v>
      </c>
      <c r="P267" s="8">
        <v>1065</v>
      </c>
      <c r="Q267" s="8">
        <v>186</v>
      </c>
      <c r="R267" s="8">
        <v>177</v>
      </c>
      <c r="S267" s="8">
        <v>220</v>
      </c>
      <c r="T267" s="8">
        <v>187</v>
      </c>
      <c r="U267" s="8">
        <v>1236</v>
      </c>
      <c r="V267" s="8">
        <v>1106</v>
      </c>
      <c r="W267" s="8">
        <v>1145</v>
      </c>
      <c r="X267" s="8">
        <v>161</v>
      </c>
      <c r="Y267" s="8">
        <v>136</v>
      </c>
      <c r="Z267" s="8">
        <v>135</v>
      </c>
      <c r="AA267" s="8">
        <v>836</v>
      </c>
      <c r="AB267" s="8">
        <v>846</v>
      </c>
      <c r="AC267" s="8">
        <v>730</v>
      </c>
      <c r="AD267" s="8">
        <v>602</v>
      </c>
      <c r="AE267" s="8">
        <v>1367</v>
      </c>
      <c r="AF267" s="8">
        <v>125</v>
      </c>
      <c r="AG267" s="8">
        <v>1205</v>
      </c>
      <c r="AH267" s="8">
        <v>1014</v>
      </c>
      <c r="AI267" s="8">
        <v>526</v>
      </c>
      <c r="AJ267" s="8">
        <v>1492</v>
      </c>
      <c r="AK267" s="8">
        <v>111</v>
      </c>
      <c r="AL267" s="8">
        <v>220</v>
      </c>
      <c r="AM267" s="8">
        <v>1672</v>
      </c>
      <c r="AN267" s="8">
        <v>1102</v>
      </c>
      <c r="AO267" s="8">
        <v>867</v>
      </c>
      <c r="AP267" s="8">
        <v>1401</v>
      </c>
      <c r="AQ267" s="8">
        <v>801</v>
      </c>
      <c r="AR267" s="8">
        <v>145</v>
      </c>
      <c r="AS267" s="8">
        <v>1354</v>
      </c>
      <c r="AT267" s="8">
        <v>1220</v>
      </c>
      <c r="AU267" s="8">
        <v>906</v>
      </c>
      <c r="AV267" s="8">
        <v>865</v>
      </c>
      <c r="AW267" s="8">
        <v>1073</v>
      </c>
      <c r="AX267" s="8">
        <v>609</v>
      </c>
      <c r="AY267" s="8">
        <v>865</v>
      </c>
      <c r="AZ267" s="8">
        <v>1373</v>
      </c>
      <c r="BA267" s="8">
        <v>151</v>
      </c>
      <c r="BB267" s="8">
        <v>146</v>
      </c>
      <c r="BC267" s="8">
        <v>158</v>
      </c>
      <c r="BD267" s="8">
        <v>161</v>
      </c>
      <c r="BE267" s="8">
        <v>1367</v>
      </c>
      <c r="BF267" s="8">
        <v>1163</v>
      </c>
      <c r="BG267" s="8">
        <v>892</v>
      </c>
      <c r="BH267" s="8">
        <v>452</v>
      </c>
      <c r="BI267" s="8">
        <v>218</v>
      </c>
      <c r="BJ267" s="8">
        <v>110</v>
      </c>
      <c r="BK267" s="8">
        <v>1167</v>
      </c>
      <c r="BL267" s="8">
        <v>1107</v>
      </c>
      <c r="BM267" s="8">
        <v>1116</v>
      </c>
      <c r="BN267" s="8">
        <v>1007</v>
      </c>
      <c r="BO267" s="8">
        <v>1107</v>
      </c>
      <c r="BP267" s="8">
        <v>1191</v>
      </c>
      <c r="BQ267" s="8">
        <v>1317</v>
      </c>
      <c r="BR267" s="8">
        <v>1160</v>
      </c>
      <c r="BS267" s="8">
        <v>1303</v>
      </c>
      <c r="BT267" s="8">
        <v>225</v>
      </c>
      <c r="BU267" s="8">
        <v>581</v>
      </c>
      <c r="BV267" s="8">
        <v>213</v>
      </c>
      <c r="BW267" s="8">
        <v>1282</v>
      </c>
      <c r="BX267" s="8">
        <v>656</v>
      </c>
      <c r="BY267" s="8">
        <v>718</v>
      </c>
      <c r="BZ267" s="8">
        <v>1307</v>
      </c>
      <c r="CA267" s="8">
        <v>140</v>
      </c>
      <c r="CB267" s="8">
        <v>114</v>
      </c>
      <c r="CC267" s="8">
        <v>915</v>
      </c>
      <c r="CD267" s="8">
        <v>995</v>
      </c>
      <c r="CE267" s="8">
        <v>1008</v>
      </c>
      <c r="CF267" s="8">
        <v>649</v>
      </c>
      <c r="CG267" s="8">
        <v>993</v>
      </c>
      <c r="CH267" s="8">
        <v>143</v>
      </c>
      <c r="CJ267" s="9"/>
      <c r="CK267" s="9"/>
      <c r="CL267" s="9"/>
      <c r="CM267" s="9"/>
      <c r="CN267" s="9"/>
      <c r="CO267" s="9"/>
      <c r="CP267" s="9"/>
      <c r="CQ267" s="9"/>
      <c r="CR267" s="9"/>
      <c r="CS267" s="9"/>
      <c r="CT267" s="9"/>
      <c r="CU267" s="9"/>
      <c r="CV267" s="9"/>
      <c r="CW267" s="9"/>
      <c r="CX267" s="9"/>
      <c r="CY267" s="9"/>
      <c r="CZ267" s="9"/>
      <c r="DA267" s="9"/>
      <c r="DB267" s="9"/>
      <c r="DC267" s="9"/>
      <c r="DD267" s="9"/>
      <c r="DE267" s="9"/>
      <c r="DF267" s="9"/>
      <c r="DG267" s="9"/>
      <c r="DH267" s="9"/>
      <c r="DI267" s="9"/>
      <c r="DJ267" s="9"/>
      <c r="DK267" s="9"/>
      <c r="DL267" s="9"/>
      <c r="DM267" s="9"/>
      <c r="DN267" s="9"/>
      <c r="DO267" s="9"/>
      <c r="DP267" s="9"/>
      <c r="DQ267" s="9"/>
      <c r="DR267" s="9"/>
      <c r="DS267" s="9"/>
      <c r="DT267" s="9"/>
      <c r="DU267" s="9"/>
      <c r="DV267" s="9"/>
      <c r="DW267" s="9"/>
      <c r="DX267" s="9"/>
      <c r="DY267" s="9"/>
      <c r="DZ267" s="9"/>
      <c r="EA267" s="9"/>
      <c r="EB267" s="9"/>
      <c r="EC267" s="9"/>
      <c r="ED267" s="9"/>
      <c r="EE267" s="9"/>
      <c r="EF267" s="9"/>
      <c r="EG267" s="9"/>
      <c r="EH267" s="9"/>
      <c r="EI267" s="9"/>
      <c r="EJ267" s="9"/>
      <c r="EK267" s="9"/>
      <c r="EL267" s="9"/>
      <c r="EM267" s="9"/>
      <c r="EN267" s="9"/>
      <c r="EO267" s="9"/>
      <c r="EP267" s="9"/>
      <c r="EQ267" s="9"/>
      <c r="ER267" s="9"/>
      <c r="ES267" s="9"/>
      <c r="ET267" s="9"/>
      <c r="EU267" s="9"/>
      <c r="EV267" s="9"/>
      <c r="EW267" s="9"/>
      <c r="EX267" s="9"/>
      <c r="EY267" s="9"/>
      <c r="EZ267" s="9"/>
      <c r="FA267" s="9"/>
      <c r="FB267" s="9"/>
      <c r="FC267" s="9"/>
      <c r="FD267" s="9"/>
      <c r="FE267" s="9"/>
      <c r="FF267" s="9"/>
      <c r="FG267" s="9"/>
      <c r="FH267" s="9"/>
      <c r="FI267" s="9"/>
    </row>
    <row r="268" spans="1:165" x14ac:dyDescent="0.2">
      <c r="A268" s="1" t="s">
        <v>1032</v>
      </c>
      <c r="B268" s="1" t="s">
        <v>1033</v>
      </c>
      <c r="C268" s="1" t="s">
        <v>294</v>
      </c>
      <c r="D268" s="1" t="str">
        <f>HYPERLINK("http://eros.fiehnlab.ucdavis.edu:8080/binbase-compound/bin/show/268445?db=rtx5","268445")</f>
        <v>268445</v>
      </c>
      <c r="E268" s="1" t="s">
        <v>1034</v>
      </c>
      <c r="F268" s="1" t="s">
        <v>184</v>
      </c>
      <c r="G268" s="1" t="s">
        <v>184</v>
      </c>
      <c r="H268" s="1"/>
      <c r="I268" s="8">
        <v>516</v>
      </c>
      <c r="J268" s="8">
        <v>330</v>
      </c>
      <c r="K268" s="8">
        <v>426</v>
      </c>
      <c r="L268" s="8">
        <v>365</v>
      </c>
      <c r="M268" s="8">
        <v>448</v>
      </c>
      <c r="N268" s="8">
        <v>431</v>
      </c>
      <c r="O268" s="8">
        <v>367</v>
      </c>
      <c r="P268" s="8">
        <v>505</v>
      </c>
      <c r="Q268" s="8">
        <v>492</v>
      </c>
      <c r="R268" s="8">
        <v>486</v>
      </c>
      <c r="S268" s="8">
        <v>682</v>
      </c>
      <c r="T268" s="8">
        <v>278</v>
      </c>
      <c r="U268" s="8">
        <v>447</v>
      </c>
      <c r="V268" s="8">
        <v>428</v>
      </c>
      <c r="W268" s="8">
        <v>413</v>
      </c>
      <c r="X268" s="8">
        <v>499</v>
      </c>
      <c r="Y268" s="8">
        <v>361</v>
      </c>
      <c r="Z268" s="8">
        <v>415</v>
      </c>
      <c r="AA268" s="8">
        <v>292</v>
      </c>
      <c r="AB268" s="8">
        <v>372</v>
      </c>
      <c r="AC268" s="8">
        <v>164</v>
      </c>
      <c r="AD268" s="8">
        <v>400</v>
      </c>
      <c r="AE268" s="8">
        <v>373</v>
      </c>
      <c r="AF268" s="8">
        <v>425</v>
      </c>
      <c r="AG268" s="8">
        <v>360</v>
      </c>
      <c r="AH268" s="8">
        <v>366</v>
      </c>
      <c r="AI268" s="8">
        <v>127</v>
      </c>
      <c r="AJ268" s="8">
        <v>487</v>
      </c>
      <c r="AK268" s="8">
        <v>130</v>
      </c>
      <c r="AL268" s="8">
        <v>433</v>
      </c>
      <c r="AM268" s="8">
        <v>377</v>
      </c>
      <c r="AN268" s="8">
        <v>528</v>
      </c>
      <c r="AO268" s="8">
        <v>511</v>
      </c>
      <c r="AP268" s="8">
        <v>570</v>
      </c>
      <c r="AQ268" s="8">
        <v>450</v>
      </c>
      <c r="AR268" s="8">
        <v>326</v>
      </c>
      <c r="AS268" s="8">
        <v>329</v>
      </c>
      <c r="AT268" s="8">
        <v>563</v>
      </c>
      <c r="AU268" s="8">
        <v>429</v>
      </c>
      <c r="AV268" s="8">
        <v>316</v>
      </c>
      <c r="AW268" s="8">
        <v>503</v>
      </c>
      <c r="AX268" s="8">
        <v>354</v>
      </c>
      <c r="AY268" s="8">
        <v>480</v>
      </c>
      <c r="AZ268" s="8">
        <v>588</v>
      </c>
      <c r="BA268" s="8">
        <v>511</v>
      </c>
      <c r="BB268" s="8">
        <v>416</v>
      </c>
      <c r="BC268" s="8">
        <v>517</v>
      </c>
      <c r="BD268" s="8">
        <v>247</v>
      </c>
      <c r="BE268" s="8">
        <v>320</v>
      </c>
      <c r="BF268" s="8">
        <v>431</v>
      </c>
      <c r="BG268" s="8">
        <v>483</v>
      </c>
      <c r="BH268" s="8">
        <v>362</v>
      </c>
      <c r="BI268" s="8">
        <v>248</v>
      </c>
      <c r="BJ268" s="8">
        <v>442</v>
      </c>
      <c r="BK268" s="8">
        <v>531</v>
      </c>
      <c r="BL268" s="8">
        <v>375</v>
      </c>
      <c r="BM268" s="8">
        <v>362</v>
      </c>
      <c r="BN268" s="8">
        <v>363</v>
      </c>
      <c r="BO268" s="8">
        <v>466</v>
      </c>
      <c r="BP268" s="8">
        <v>581</v>
      </c>
      <c r="BQ268" s="8">
        <v>587</v>
      </c>
      <c r="BR268" s="8">
        <v>487</v>
      </c>
      <c r="BS268" s="8">
        <v>515</v>
      </c>
      <c r="BT268" s="8">
        <v>406</v>
      </c>
      <c r="BU268" s="8">
        <v>398</v>
      </c>
      <c r="BV268" s="8">
        <v>362</v>
      </c>
      <c r="BW268" s="8">
        <v>363</v>
      </c>
      <c r="BX268" s="8">
        <v>406</v>
      </c>
      <c r="BY268" s="8">
        <v>444</v>
      </c>
      <c r="BZ268" s="8">
        <v>491</v>
      </c>
      <c r="CA268" s="8">
        <v>368</v>
      </c>
      <c r="CB268" s="8">
        <v>403</v>
      </c>
      <c r="CC268" s="8">
        <v>426</v>
      </c>
      <c r="CD268" s="8">
        <v>384</v>
      </c>
      <c r="CE268" s="8">
        <v>365</v>
      </c>
      <c r="CF268" s="8">
        <v>191</v>
      </c>
      <c r="CG268" s="8">
        <v>400</v>
      </c>
      <c r="CH268" s="8">
        <v>255</v>
      </c>
      <c r="CJ268" s="9"/>
      <c r="CK268" s="9"/>
      <c r="CL268" s="9"/>
      <c r="CM268" s="9"/>
      <c r="CN268" s="9"/>
      <c r="CO268" s="9"/>
      <c r="CP268" s="9"/>
      <c r="CQ268" s="9"/>
      <c r="CR268" s="9"/>
      <c r="CS268" s="9"/>
      <c r="CT268" s="9"/>
      <c r="CU268" s="9"/>
      <c r="CV268" s="9"/>
      <c r="CW268" s="9"/>
      <c r="CX268" s="9"/>
      <c r="CY268" s="9"/>
      <c r="CZ268" s="9"/>
      <c r="DA268" s="9"/>
      <c r="DB268" s="9"/>
      <c r="DC268" s="9"/>
      <c r="DD268" s="9"/>
      <c r="DE268" s="9"/>
      <c r="DF268" s="9"/>
      <c r="DG268" s="9"/>
      <c r="DH268" s="9"/>
      <c r="DI268" s="9"/>
      <c r="DJ268" s="9"/>
      <c r="DK268" s="9"/>
      <c r="DL268" s="9"/>
      <c r="DM268" s="9"/>
      <c r="DN268" s="9"/>
      <c r="DO268" s="9"/>
      <c r="DP268" s="9"/>
      <c r="DQ268" s="9"/>
      <c r="DR268" s="9"/>
      <c r="DS268" s="9"/>
      <c r="DT268" s="9"/>
      <c r="DU268" s="9"/>
      <c r="DV268" s="9"/>
      <c r="DW268" s="9"/>
      <c r="DX268" s="9"/>
      <c r="DY268" s="9"/>
      <c r="DZ268" s="9"/>
      <c r="EA268" s="9"/>
      <c r="EB268" s="9"/>
      <c r="EC268" s="9"/>
      <c r="ED268" s="9"/>
      <c r="EE268" s="9"/>
      <c r="EF268" s="9"/>
      <c r="EG268" s="9"/>
      <c r="EH268" s="9"/>
      <c r="EI268" s="9"/>
      <c r="EJ268" s="9"/>
      <c r="EK268" s="9"/>
      <c r="EL268" s="9"/>
      <c r="EM268" s="9"/>
      <c r="EN268" s="9"/>
      <c r="EO268" s="9"/>
      <c r="EP268" s="9"/>
      <c r="EQ268" s="9"/>
      <c r="ER268" s="9"/>
      <c r="ES268" s="9"/>
      <c r="ET268" s="9"/>
      <c r="EU268" s="9"/>
      <c r="EV268" s="9"/>
      <c r="EW268" s="9"/>
      <c r="EX268" s="9"/>
      <c r="EY268" s="9"/>
      <c r="EZ268" s="9"/>
      <c r="FA268" s="9"/>
      <c r="FB268" s="9"/>
      <c r="FC268" s="9"/>
      <c r="FD268" s="9"/>
      <c r="FE268" s="9"/>
      <c r="FF268" s="9"/>
      <c r="FG268" s="9"/>
      <c r="FH268" s="9"/>
      <c r="FI268" s="9"/>
    </row>
    <row r="269" spans="1:165" x14ac:dyDescent="0.2">
      <c r="A269" s="1" t="s">
        <v>968</v>
      </c>
      <c r="B269" s="1" t="s">
        <v>969</v>
      </c>
      <c r="C269" s="1" t="s">
        <v>555</v>
      </c>
      <c r="D269" s="1" t="str">
        <f>HYPERLINK("http://eros.fiehnlab.ucdavis.edu:8080/binbase-compound/bin/show/280553?db=rtx5","280553")</f>
        <v>280553</v>
      </c>
      <c r="E269" s="1" t="s">
        <v>970</v>
      </c>
      <c r="F269" s="1" t="s">
        <v>184</v>
      </c>
      <c r="G269" s="1" t="s">
        <v>184</v>
      </c>
      <c r="H269" s="1"/>
      <c r="I269" s="8">
        <v>154</v>
      </c>
      <c r="J269" s="8">
        <v>214</v>
      </c>
      <c r="K269" s="8">
        <v>276</v>
      </c>
      <c r="L269" s="8">
        <v>198</v>
      </c>
      <c r="M269" s="8">
        <v>435</v>
      </c>
      <c r="N269" s="8">
        <v>559</v>
      </c>
      <c r="O269" s="8">
        <v>377</v>
      </c>
      <c r="P269" s="8">
        <v>329</v>
      </c>
      <c r="Q269" s="8">
        <v>395</v>
      </c>
      <c r="R269" s="8">
        <v>490</v>
      </c>
      <c r="S269" s="8">
        <v>286</v>
      </c>
      <c r="T269" s="8">
        <v>436</v>
      </c>
      <c r="U269" s="8">
        <v>370</v>
      </c>
      <c r="V269" s="8">
        <v>325</v>
      </c>
      <c r="W269" s="8">
        <v>229</v>
      </c>
      <c r="X269" s="8">
        <v>402</v>
      </c>
      <c r="Y269" s="8">
        <v>378</v>
      </c>
      <c r="Z269" s="8">
        <v>593</v>
      </c>
      <c r="AA269" s="8">
        <v>232</v>
      </c>
      <c r="AB269" s="8">
        <v>291</v>
      </c>
      <c r="AC269" s="8">
        <v>323</v>
      </c>
      <c r="AD269" s="8">
        <v>273</v>
      </c>
      <c r="AE269" s="8">
        <v>371</v>
      </c>
      <c r="AF269" s="8">
        <v>260</v>
      </c>
      <c r="AG269" s="8">
        <v>329</v>
      </c>
      <c r="AH269" s="8">
        <v>339</v>
      </c>
      <c r="AI269" s="8">
        <v>371</v>
      </c>
      <c r="AJ269" s="8">
        <v>582</v>
      </c>
      <c r="AK269" s="8">
        <v>330</v>
      </c>
      <c r="AL269" s="8">
        <v>760</v>
      </c>
      <c r="AM269" s="8">
        <v>551</v>
      </c>
      <c r="AN269" s="8">
        <v>308</v>
      </c>
      <c r="AO269" s="8">
        <v>520</v>
      </c>
      <c r="AP269" s="8">
        <v>348</v>
      </c>
      <c r="AQ269" s="8">
        <v>409</v>
      </c>
      <c r="AR269" s="8">
        <v>529</v>
      </c>
      <c r="AS269" s="8">
        <v>511</v>
      </c>
      <c r="AT269" s="8">
        <v>427</v>
      </c>
      <c r="AU269" s="8">
        <v>464</v>
      </c>
      <c r="AV269" s="8">
        <v>404</v>
      </c>
      <c r="AW269" s="8">
        <v>493</v>
      </c>
      <c r="AX269" s="8">
        <v>316</v>
      </c>
      <c r="AY269" s="8">
        <v>409</v>
      </c>
      <c r="AZ269" s="8">
        <v>303</v>
      </c>
      <c r="BA269" s="8">
        <v>373</v>
      </c>
      <c r="BB269" s="8">
        <v>450</v>
      </c>
      <c r="BC269" s="8">
        <v>421</v>
      </c>
      <c r="BD269" s="8">
        <v>394</v>
      </c>
      <c r="BE269" s="8">
        <v>301</v>
      </c>
      <c r="BF269" s="8">
        <v>226</v>
      </c>
      <c r="BG269" s="8">
        <v>606</v>
      </c>
      <c r="BH269" s="8">
        <v>358</v>
      </c>
      <c r="BI269" s="8">
        <v>379</v>
      </c>
      <c r="BJ269" s="8">
        <v>352</v>
      </c>
      <c r="BK269" s="8">
        <v>433</v>
      </c>
      <c r="BL269" s="8">
        <v>1614</v>
      </c>
      <c r="BM269" s="8">
        <v>1640</v>
      </c>
      <c r="BN269" s="8">
        <v>2495</v>
      </c>
      <c r="BO269" s="8">
        <v>3242</v>
      </c>
      <c r="BP269" s="8">
        <v>3549</v>
      </c>
      <c r="BQ269" s="8">
        <v>1334</v>
      </c>
      <c r="BR269" s="8">
        <v>396</v>
      </c>
      <c r="BS269" s="8">
        <v>393</v>
      </c>
      <c r="BT269" s="8">
        <v>1585</v>
      </c>
      <c r="BU269" s="8">
        <v>1685</v>
      </c>
      <c r="BV269" s="8">
        <v>3666</v>
      </c>
      <c r="BW269" s="8">
        <v>309</v>
      </c>
      <c r="BX269" s="8">
        <v>420</v>
      </c>
      <c r="BY269" s="8">
        <v>311</v>
      </c>
      <c r="BZ269" s="8">
        <v>1316</v>
      </c>
      <c r="CA269" s="8">
        <v>939</v>
      </c>
      <c r="CB269" s="8">
        <v>811</v>
      </c>
      <c r="CC269" s="8">
        <v>703</v>
      </c>
      <c r="CD269" s="8">
        <v>383</v>
      </c>
      <c r="CE269" s="8">
        <v>359</v>
      </c>
      <c r="CF269" s="8">
        <v>670</v>
      </c>
      <c r="CG269" s="8">
        <v>1989</v>
      </c>
      <c r="CH269" s="8">
        <v>2075</v>
      </c>
      <c r="CJ269" s="9"/>
      <c r="CK269" s="9"/>
      <c r="CL269" s="9"/>
      <c r="CM269" s="9"/>
      <c r="CN269" s="9"/>
      <c r="CO269" s="9"/>
      <c r="CP269" s="9"/>
      <c r="CQ269" s="9"/>
      <c r="CR269" s="9"/>
      <c r="CS269" s="9"/>
      <c r="CT269" s="9"/>
      <c r="CU269" s="9"/>
      <c r="CV269" s="9"/>
      <c r="CW269" s="9"/>
      <c r="CX269" s="9"/>
      <c r="CY269" s="9"/>
      <c r="CZ269" s="9"/>
      <c r="DA269" s="9"/>
      <c r="DB269" s="9"/>
      <c r="DC269" s="9"/>
      <c r="DD269" s="9"/>
      <c r="DE269" s="9"/>
      <c r="DF269" s="9"/>
      <c r="DG269" s="9"/>
      <c r="DH269" s="9"/>
      <c r="DI269" s="9"/>
      <c r="DJ269" s="9"/>
      <c r="DK269" s="9"/>
      <c r="DL269" s="9"/>
      <c r="DM269" s="9"/>
      <c r="DN269" s="9"/>
      <c r="DO269" s="9"/>
      <c r="DP269" s="9"/>
      <c r="DQ269" s="9"/>
      <c r="DR269" s="9"/>
      <c r="DS269" s="9"/>
      <c r="DT269" s="9"/>
      <c r="DU269" s="9"/>
      <c r="DV269" s="9"/>
      <c r="DW269" s="9"/>
      <c r="DX269" s="9"/>
      <c r="DY269" s="9"/>
      <c r="DZ269" s="9"/>
      <c r="EA269" s="9"/>
      <c r="EB269" s="9"/>
      <c r="EC269" s="9"/>
      <c r="ED269" s="9"/>
      <c r="EE269" s="9"/>
      <c r="EF269" s="9"/>
      <c r="EG269" s="9"/>
      <c r="EH269" s="9"/>
      <c r="EI269" s="9"/>
      <c r="EJ269" s="9"/>
      <c r="EK269" s="9"/>
      <c r="EL269" s="9"/>
      <c r="EM269" s="9"/>
      <c r="EN269" s="9"/>
      <c r="EO269" s="9"/>
      <c r="EP269" s="9"/>
      <c r="EQ269" s="9"/>
      <c r="ER269" s="9"/>
      <c r="ES269" s="9"/>
      <c r="ET269" s="9"/>
      <c r="EU269" s="9"/>
      <c r="EV269" s="9"/>
      <c r="EW269" s="9"/>
      <c r="EX269" s="9"/>
      <c r="EY269" s="9"/>
      <c r="EZ269" s="9"/>
      <c r="FA269" s="9"/>
      <c r="FB269" s="9"/>
      <c r="FC269" s="9"/>
      <c r="FD269" s="9"/>
      <c r="FE269" s="9"/>
      <c r="FF269" s="9"/>
      <c r="FG269" s="9"/>
      <c r="FH269" s="9"/>
      <c r="FI269" s="9"/>
    </row>
    <row r="270" spans="1:165" x14ac:dyDescent="0.2">
      <c r="A270" s="1" t="s">
        <v>869</v>
      </c>
      <c r="B270" s="1" t="s">
        <v>870</v>
      </c>
      <c r="C270" s="1" t="s">
        <v>728</v>
      </c>
      <c r="D270" s="1" t="str">
        <f>HYPERLINK("http://eros.fiehnlab.ucdavis.edu:8080/binbase-compound/bin/show/309644?db=rtx5","309644")</f>
        <v>309644</v>
      </c>
      <c r="E270" s="1" t="s">
        <v>871</v>
      </c>
      <c r="F270" s="1" t="s">
        <v>184</v>
      </c>
      <c r="G270" s="1" t="s">
        <v>184</v>
      </c>
      <c r="H270" s="1"/>
      <c r="I270" s="8">
        <v>1092</v>
      </c>
      <c r="J270" s="8">
        <v>1030</v>
      </c>
      <c r="K270" s="8">
        <v>1139</v>
      </c>
      <c r="L270" s="8">
        <v>898</v>
      </c>
      <c r="M270" s="8">
        <v>275</v>
      </c>
      <c r="N270" s="8">
        <v>3002</v>
      </c>
      <c r="O270" s="8">
        <v>745</v>
      </c>
      <c r="P270" s="8">
        <v>961</v>
      </c>
      <c r="Q270" s="8">
        <v>2136</v>
      </c>
      <c r="R270" s="8">
        <v>2397</v>
      </c>
      <c r="S270" s="8">
        <v>2656</v>
      </c>
      <c r="T270" s="8">
        <v>1699</v>
      </c>
      <c r="U270" s="8">
        <v>855</v>
      </c>
      <c r="V270" s="8">
        <v>1065</v>
      </c>
      <c r="W270" s="8">
        <v>832</v>
      </c>
      <c r="X270" s="8">
        <v>2885</v>
      </c>
      <c r="Y270" s="8">
        <v>2105</v>
      </c>
      <c r="Z270" s="8">
        <v>2457</v>
      </c>
      <c r="AA270" s="8">
        <v>328</v>
      </c>
      <c r="AB270" s="8">
        <v>455</v>
      </c>
      <c r="AC270" s="8">
        <v>684</v>
      </c>
      <c r="AD270" s="8">
        <v>565</v>
      </c>
      <c r="AE270" s="8">
        <v>899</v>
      </c>
      <c r="AF270" s="8">
        <v>1641</v>
      </c>
      <c r="AG270" s="8">
        <v>868</v>
      </c>
      <c r="AH270" s="8">
        <v>736</v>
      </c>
      <c r="AI270" s="8">
        <v>700</v>
      </c>
      <c r="AJ270" s="8">
        <v>892</v>
      </c>
      <c r="AK270" s="8">
        <v>2262</v>
      </c>
      <c r="AL270" s="8">
        <v>2114</v>
      </c>
      <c r="AM270" s="8">
        <v>1075</v>
      </c>
      <c r="AN270" s="8">
        <v>853</v>
      </c>
      <c r="AO270" s="8">
        <v>1013</v>
      </c>
      <c r="AP270" s="8">
        <v>674</v>
      </c>
      <c r="AQ270" s="8">
        <v>2414</v>
      </c>
      <c r="AR270" s="8">
        <v>1975</v>
      </c>
      <c r="AS270" s="8">
        <v>479</v>
      </c>
      <c r="AT270" s="8">
        <v>265</v>
      </c>
      <c r="AU270" s="8">
        <v>819</v>
      </c>
      <c r="AV270" s="8">
        <v>753</v>
      </c>
      <c r="AW270" s="8">
        <v>707</v>
      </c>
      <c r="AX270" s="8">
        <v>1952</v>
      </c>
      <c r="AY270" s="8">
        <v>1193</v>
      </c>
      <c r="AZ270" s="8">
        <v>730</v>
      </c>
      <c r="BA270" s="8">
        <v>2727</v>
      </c>
      <c r="BB270" s="8">
        <v>3914</v>
      </c>
      <c r="BC270" s="8">
        <v>792</v>
      </c>
      <c r="BD270" s="8">
        <v>2602</v>
      </c>
      <c r="BE270" s="8">
        <v>880</v>
      </c>
      <c r="BF270" s="8">
        <v>846</v>
      </c>
      <c r="BG270" s="8">
        <v>865</v>
      </c>
      <c r="BH270" s="8">
        <v>664</v>
      </c>
      <c r="BI270" s="8">
        <v>499</v>
      </c>
      <c r="BJ270" s="8">
        <v>2140</v>
      </c>
      <c r="BK270" s="8">
        <v>769</v>
      </c>
      <c r="BL270" s="8">
        <v>1020</v>
      </c>
      <c r="BM270" s="8">
        <v>384</v>
      </c>
      <c r="BN270" s="8">
        <v>715</v>
      </c>
      <c r="BO270" s="8">
        <v>701</v>
      </c>
      <c r="BP270" s="8">
        <v>908</v>
      </c>
      <c r="BQ270" s="8">
        <v>1104</v>
      </c>
      <c r="BR270" s="8">
        <v>518</v>
      </c>
      <c r="BS270" s="8">
        <v>1002</v>
      </c>
      <c r="BT270" s="8">
        <v>2313</v>
      </c>
      <c r="BU270" s="8">
        <v>3296</v>
      </c>
      <c r="BV270" s="8">
        <v>1749</v>
      </c>
      <c r="BW270" s="8">
        <v>783</v>
      </c>
      <c r="BX270" s="8">
        <v>651</v>
      </c>
      <c r="BY270" s="8">
        <v>571</v>
      </c>
      <c r="BZ270" s="8">
        <v>653</v>
      </c>
      <c r="CA270" s="8">
        <v>2257</v>
      </c>
      <c r="CB270" s="8">
        <v>1886</v>
      </c>
      <c r="CC270" s="8">
        <v>565</v>
      </c>
      <c r="CD270" s="8">
        <v>715</v>
      </c>
      <c r="CE270" s="8">
        <v>740</v>
      </c>
      <c r="CF270" s="8">
        <v>870</v>
      </c>
      <c r="CG270" s="8">
        <v>551</v>
      </c>
      <c r="CH270" s="8">
        <v>2083</v>
      </c>
      <c r="CJ270" s="9"/>
      <c r="CK270" s="9"/>
      <c r="CL270" s="9"/>
      <c r="CM270" s="9"/>
      <c r="CN270" s="9"/>
      <c r="CO270" s="9"/>
      <c r="CP270" s="9"/>
      <c r="CQ270" s="9"/>
      <c r="CR270" s="9"/>
      <c r="CS270" s="9"/>
      <c r="CT270" s="9"/>
      <c r="CU270" s="9"/>
      <c r="CV270" s="9"/>
      <c r="CW270" s="9"/>
      <c r="CX270" s="9"/>
      <c r="CY270" s="9"/>
      <c r="CZ270" s="9"/>
      <c r="DA270" s="9"/>
      <c r="DB270" s="9"/>
      <c r="DC270" s="9"/>
      <c r="DD270" s="9"/>
      <c r="DE270" s="9"/>
      <c r="DF270" s="9"/>
      <c r="DG270" s="9"/>
      <c r="DH270" s="9"/>
      <c r="DI270" s="9"/>
      <c r="DJ270" s="9"/>
      <c r="DK270" s="9"/>
      <c r="DL270" s="9"/>
      <c r="DM270" s="9"/>
      <c r="DN270" s="9"/>
      <c r="DO270" s="9"/>
      <c r="DP270" s="9"/>
      <c r="DQ270" s="9"/>
      <c r="DR270" s="9"/>
      <c r="DS270" s="9"/>
      <c r="DT270" s="9"/>
      <c r="DU270" s="9"/>
      <c r="DV270" s="9"/>
      <c r="DW270" s="9"/>
      <c r="DX270" s="9"/>
      <c r="DY270" s="9"/>
      <c r="DZ270" s="9"/>
      <c r="EA270" s="9"/>
      <c r="EB270" s="9"/>
      <c r="EC270" s="9"/>
      <c r="ED270" s="9"/>
      <c r="EE270" s="9"/>
      <c r="EF270" s="9"/>
      <c r="EG270" s="9"/>
      <c r="EH270" s="9"/>
      <c r="EI270" s="9"/>
      <c r="EJ270" s="9"/>
      <c r="EK270" s="9"/>
      <c r="EL270" s="9"/>
      <c r="EM270" s="9"/>
      <c r="EN270" s="9"/>
      <c r="EO270" s="9"/>
      <c r="EP270" s="9"/>
      <c r="EQ270" s="9"/>
      <c r="ER270" s="9"/>
      <c r="ES270" s="9"/>
      <c r="ET270" s="9"/>
      <c r="EU270" s="9"/>
      <c r="EV270" s="9"/>
      <c r="EW270" s="9"/>
      <c r="EX270" s="9"/>
      <c r="EY270" s="9"/>
      <c r="EZ270" s="9"/>
      <c r="FA270" s="9"/>
      <c r="FB270" s="9"/>
      <c r="FC270" s="9"/>
      <c r="FD270" s="9"/>
      <c r="FE270" s="9"/>
      <c r="FF270" s="9"/>
      <c r="FG270" s="9"/>
      <c r="FH270" s="9"/>
      <c r="FI270" s="9"/>
    </row>
    <row r="271" spans="1:165" x14ac:dyDescent="0.2">
      <c r="A271" s="1" t="s">
        <v>657</v>
      </c>
      <c r="B271" s="1" t="s">
        <v>658</v>
      </c>
      <c r="C271" s="1" t="s">
        <v>265</v>
      </c>
      <c r="D271" s="1" t="str">
        <f>HYPERLINK("http://eros.fiehnlab.ucdavis.edu:8080/binbase-compound/bin/show/374016?db=rtx5","374016")</f>
        <v>374016</v>
      </c>
      <c r="E271" s="1" t="s">
        <v>659</v>
      </c>
      <c r="F271" s="1" t="s">
        <v>184</v>
      </c>
      <c r="G271" s="1" t="s">
        <v>184</v>
      </c>
      <c r="H271" s="1"/>
      <c r="I271" s="8">
        <v>1126</v>
      </c>
      <c r="J271" s="8">
        <v>1100</v>
      </c>
      <c r="K271" s="8">
        <v>1246</v>
      </c>
      <c r="L271" s="8">
        <v>1117</v>
      </c>
      <c r="M271" s="8">
        <v>1385</v>
      </c>
      <c r="N271" s="8">
        <v>1505</v>
      </c>
      <c r="O271" s="8">
        <v>1787</v>
      </c>
      <c r="P271" s="8">
        <v>1916</v>
      </c>
      <c r="Q271" s="8">
        <v>2284</v>
      </c>
      <c r="R271" s="8">
        <v>2072</v>
      </c>
      <c r="S271" s="8">
        <v>2409</v>
      </c>
      <c r="T271" s="8">
        <v>1254</v>
      </c>
      <c r="U271" s="8">
        <v>1590</v>
      </c>
      <c r="V271" s="8">
        <v>1505</v>
      </c>
      <c r="W271" s="8">
        <v>1642</v>
      </c>
      <c r="X271" s="8">
        <v>1330</v>
      </c>
      <c r="Y271" s="8">
        <v>1195</v>
      </c>
      <c r="Z271" s="8">
        <v>1753</v>
      </c>
      <c r="AA271" s="8">
        <v>1395</v>
      </c>
      <c r="AB271" s="8">
        <v>2006</v>
      </c>
      <c r="AC271" s="8">
        <v>2179</v>
      </c>
      <c r="AD271" s="8">
        <v>1918</v>
      </c>
      <c r="AE271" s="8">
        <v>2144</v>
      </c>
      <c r="AF271" s="8">
        <v>2038</v>
      </c>
      <c r="AG271" s="8">
        <v>1669</v>
      </c>
      <c r="AH271" s="8">
        <v>1783</v>
      </c>
      <c r="AI271" s="8">
        <v>1850</v>
      </c>
      <c r="AJ271" s="8">
        <v>2254</v>
      </c>
      <c r="AK271" s="8">
        <v>1734</v>
      </c>
      <c r="AL271" s="8">
        <v>2357</v>
      </c>
      <c r="AM271" s="8">
        <v>4378</v>
      </c>
      <c r="AN271" s="8">
        <v>3689</v>
      </c>
      <c r="AO271" s="8">
        <v>4150</v>
      </c>
      <c r="AP271" s="8">
        <v>4040</v>
      </c>
      <c r="AQ271" s="8">
        <v>4089</v>
      </c>
      <c r="AR271" s="8">
        <v>3452</v>
      </c>
      <c r="AS271" s="8">
        <v>2582</v>
      </c>
      <c r="AT271" s="8">
        <v>2430</v>
      </c>
      <c r="AU271" s="8">
        <v>2318</v>
      </c>
      <c r="AV271" s="8">
        <v>2444</v>
      </c>
      <c r="AW271" s="8">
        <v>2743</v>
      </c>
      <c r="AX271" s="8">
        <v>2404</v>
      </c>
      <c r="AY271" s="8">
        <v>6440</v>
      </c>
      <c r="AZ271" s="8">
        <v>7799</v>
      </c>
      <c r="BA271" s="8">
        <v>7388</v>
      </c>
      <c r="BB271" s="8">
        <v>6276</v>
      </c>
      <c r="BC271" s="8">
        <v>6978</v>
      </c>
      <c r="BD271" s="8">
        <v>6987</v>
      </c>
      <c r="BE271" s="8">
        <v>2254</v>
      </c>
      <c r="BF271" s="8">
        <v>1969</v>
      </c>
      <c r="BG271" s="8">
        <v>2088</v>
      </c>
      <c r="BH271" s="8">
        <v>1614</v>
      </c>
      <c r="BI271" s="8">
        <v>2054</v>
      </c>
      <c r="BJ271" s="8">
        <v>1887</v>
      </c>
      <c r="BK271" s="8">
        <v>2480</v>
      </c>
      <c r="BL271" s="8">
        <v>2407</v>
      </c>
      <c r="BM271" s="8">
        <v>2438</v>
      </c>
      <c r="BN271" s="8">
        <v>1834</v>
      </c>
      <c r="BO271" s="8">
        <v>2375</v>
      </c>
      <c r="BP271" s="8">
        <v>2592</v>
      </c>
      <c r="BQ271" s="8">
        <v>1638</v>
      </c>
      <c r="BR271" s="8">
        <v>1404</v>
      </c>
      <c r="BS271" s="8">
        <v>1827</v>
      </c>
      <c r="BT271" s="8">
        <v>1530</v>
      </c>
      <c r="BU271" s="8">
        <v>1442</v>
      </c>
      <c r="BV271" s="8">
        <v>1652</v>
      </c>
      <c r="BW271" s="8">
        <v>3264</v>
      </c>
      <c r="BX271" s="8">
        <v>3159</v>
      </c>
      <c r="BY271" s="8">
        <v>2675</v>
      </c>
      <c r="BZ271" s="8">
        <v>2947</v>
      </c>
      <c r="CA271" s="8">
        <v>2909</v>
      </c>
      <c r="CB271" s="8">
        <v>2630</v>
      </c>
      <c r="CC271" s="8">
        <v>1500</v>
      </c>
      <c r="CD271" s="8">
        <v>1668</v>
      </c>
      <c r="CE271" s="8">
        <v>1669</v>
      </c>
      <c r="CF271" s="8">
        <v>1449</v>
      </c>
      <c r="CG271" s="8">
        <v>1836</v>
      </c>
      <c r="CH271" s="8">
        <v>1554</v>
      </c>
      <c r="CJ271" s="9"/>
      <c r="CK271" s="9"/>
      <c r="CL271" s="9"/>
      <c r="CM271" s="9"/>
      <c r="CN271" s="9"/>
      <c r="CO271" s="9"/>
      <c r="CP271" s="9"/>
      <c r="CQ271" s="9"/>
      <c r="CR271" s="9"/>
      <c r="CS271" s="9"/>
      <c r="CT271" s="9"/>
      <c r="CU271" s="9"/>
      <c r="CV271" s="9"/>
      <c r="CW271" s="9"/>
      <c r="CX271" s="9"/>
      <c r="CY271" s="9"/>
      <c r="CZ271" s="9"/>
      <c r="DA271" s="9"/>
      <c r="DB271" s="9"/>
      <c r="DC271" s="9"/>
      <c r="DD271" s="9"/>
      <c r="DE271" s="9"/>
      <c r="DF271" s="9"/>
      <c r="DG271" s="9"/>
      <c r="DH271" s="9"/>
      <c r="DI271" s="9"/>
      <c r="DJ271" s="9"/>
      <c r="DK271" s="9"/>
      <c r="DL271" s="9"/>
      <c r="DM271" s="9"/>
      <c r="DN271" s="9"/>
      <c r="DO271" s="9"/>
      <c r="DP271" s="9"/>
      <c r="DQ271" s="9"/>
      <c r="DR271" s="9"/>
      <c r="DS271" s="9"/>
      <c r="DT271" s="9"/>
      <c r="DU271" s="9"/>
      <c r="DV271" s="9"/>
      <c r="DW271" s="9"/>
      <c r="DX271" s="9"/>
      <c r="DY271" s="9"/>
      <c r="DZ271" s="9"/>
      <c r="EA271" s="9"/>
      <c r="EB271" s="9"/>
      <c r="EC271" s="9"/>
      <c r="ED271" s="9"/>
      <c r="EE271" s="9"/>
      <c r="EF271" s="9"/>
      <c r="EG271" s="9"/>
      <c r="EH271" s="9"/>
      <c r="EI271" s="9"/>
      <c r="EJ271" s="9"/>
      <c r="EK271" s="9"/>
      <c r="EL271" s="9"/>
      <c r="EM271" s="9"/>
      <c r="EN271" s="9"/>
      <c r="EO271" s="9"/>
      <c r="EP271" s="9"/>
      <c r="EQ271" s="9"/>
      <c r="ER271" s="9"/>
      <c r="ES271" s="9"/>
      <c r="ET271" s="9"/>
      <c r="EU271" s="9"/>
      <c r="EV271" s="9"/>
      <c r="EW271" s="9"/>
      <c r="EX271" s="9"/>
      <c r="EY271" s="9"/>
      <c r="EZ271" s="9"/>
      <c r="FA271" s="9"/>
      <c r="FB271" s="9"/>
      <c r="FC271" s="9"/>
      <c r="FD271" s="9"/>
      <c r="FE271" s="9"/>
      <c r="FF271" s="9"/>
      <c r="FG271" s="9"/>
      <c r="FH271" s="9"/>
      <c r="FI271" s="9"/>
    </row>
    <row r="272" spans="1:165" x14ac:dyDescent="0.2">
      <c r="A272" s="1" t="s">
        <v>1238</v>
      </c>
      <c r="B272" s="1" t="s">
        <v>1239</v>
      </c>
      <c r="C272" s="1" t="s">
        <v>1240</v>
      </c>
      <c r="D272" s="1" t="str">
        <f>HYPERLINK("http://eros.fiehnlab.ucdavis.edu:8080/binbase-compound/bin/show/220136?db=rtx5","220136")</f>
        <v>220136</v>
      </c>
      <c r="E272" s="1" t="s">
        <v>1241</v>
      </c>
      <c r="F272" s="1" t="s">
        <v>184</v>
      </c>
      <c r="G272" s="1" t="s">
        <v>184</v>
      </c>
      <c r="H272" s="1"/>
      <c r="I272" s="8">
        <v>810</v>
      </c>
      <c r="J272" s="8">
        <v>713</v>
      </c>
      <c r="K272" s="8">
        <v>694</v>
      </c>
      <c r="L272" s="8">
        <v>536</v>
      </c>
      <c r="M272" s="8">
        <v>489</v>
      </c>
      <c r="N272" s="8">
        <v>766</v>
      </c>
      <c r="O272" s="8">
        <v>766</v>
      </c>
      <c r="P272" s="8">
        <v>734</v>
      </c>
      <c r="Q272" s="8">
        <v>842</v>
      </c>
      <c r="R272" s="8">
        <v>828</v>
      </c>
      <c r="S272" s="8">
        <v>902</v>
      </c>
      <c r="T272" s="8">
        <v>602</v>
      </c>
      <c r="U272" s="8">
        <v>463</v>
      </c>
      <c r="V272" s="8">
        <v>711</v>
      </c>
      <c r="W272" s="8">
        <v>708</v>
      </c>
      <c r="X272" s="8">
        <v>621</v>
      </c>
      <c r="Y272" s="8">
        <v>623</v>
      </c>
      <c r="Z272" s="8">
        <v>679</v>
      </c>
      <c r="AA272" s="8">
        <v>410</v>
      </c>
      <c r="AB272" s="8">
        <v>635</v>
      </c>
      <c r="AC272" s="8">
        <v>602</v>
      </c>
      <c r="AD272" s="8">
        <v>645</v>
      </c>
      <c r="AE272" s="8">
        <v>630</v>
      </c>
      <c r="AF272" s="8">
        <v>625</v>
      </c>
      <c r="AG272" s="8">
        <v>521</v>
      </c>
      <c r="AH272" s="8">
        <v>687</v>
      </c>
      <c r="AI272" s="8">
        <v>714</v>
      </c>
      <c r="AJ272" s="8">
        <v>881</v>
      </c>
      <c r="AK272" s="8">
        <v>426</v>
      </c>
      <c r="AL272" s="8">
        <v>861</v>
      </c>
      <c r="AM272" s="8">
        <v>995</v>
      </c>
      <c r="AN272" s="8">
        <v>987</v>
      </c>
      <c r="AO272" s="8">
        <v>654</v>
      </c>
      <c r="AP272" s="8">
        <v>927</v>
      </c>
      <c r="AQ272" s="8">
        <v>707</v>
      </c>
      <c r="AR272" s="8">
        <v>533</v>
      </c>
      <c r="AS272" s="8">
        <v>786</v>
      </c>
      <c r="AT272" s="8">
        <v>775</v>
      </c>
      <c r="AU272" s="8">
        <v>711</v>
      </c>
      <c r="AV272" s="8">
        <v>598</v>
      </c>
      <c r="AW272" s="8">
        <v>808</v>
      </c>
      <c r="AX272" s="8">
        <v>522</v>
      </c>
      <c r="AY272" s="8">
        <v>908</v>
      </c>
      <c r="AZ272" s="8">
        <v>933</v>
      </c>
      <c r="BA272" s="8">
        <v>918</v>
      </c>
      <c r="BB272" s="8">
        <v>876</v>
      </c>
      <c r="BC272" s="8">
        <v>793</v>
      </c>
      <c r="BD272" s="8">
        <v>879</v>
      </c>
      <c r="BE272" s="8">
        <v>799</v>
      </c>
      <c r="BF272" s="8">
        <v>675</v>
      </c>
      <c r="BG272" s="8">
        <v>503</v>
      </c>
      <c r="BH272" s="8">
        <v>591</v>
      </c>
      <c r="BI272" s="8">
        <v>822</v>
      </c>
      <c r="BJ272" s="8">
        <v>634</v>
      </c>
      <c r="BK272" s="8">
        <v>492</v>
      </c>
      <c r="BL272" s="8">
        <v>828</v>
      </c>
      <c r="BM272" s="8">
        <v>745</v>
      </c>
      <c r="BN272" s="8">
        <v>612</v>
      </c>
      <c r="BO272" s="8">
        <v>806</v>
      </c>
      <c r="BP272" s="8">
        <v>872</v>
      </c>
      <c r="BQ272" s="8">
        <v>807</v>
      </c>
      <c r="BR272" s="8">
        <v>771</v>
      </c>
      <c r="BS272" s="8">
        <v>691</v>
      </c>
      <c r="BT272" s="8">
        <v>524</v>
      </c>
      <c r="BU272" s="8">
        <v>683</v>
      </c>
      <c r="BV272" s="8">
        <v>599</v>
      </c>
      <c r="BW272" s="8">
        <v>779</v>
      </c>
      <c r="BX272" s="8">
        <v>659</v>
      </c>
      <c r="BY272" s="8">
        <v>688</v>
      </c>
      <c r="BZ272" s="8">
        <v>804</v>
      </c>
      <c r="CA272" s="8">
        <v>754</v>
      </c>
      <c r="CB272" s="8">
        <v>531</v>
      </c>
      <c r="CC272" s="8">
        <v>708</v>
      </c>
      <c r="CD272" s="8">
        <v>558</v>
      </c>
      <c r="CE272" s="8">
        <v>608</v>
      </c>
      <c r="CF272" s="8">
        <v>546</v>
      </c>
      <c r="CG272" s="8">
        <v>431</v>
      </c>
      <c r="CH272" s="8">
        <v>621</v>
      </c>
      <c r="CJ272" s="9"/>
      <c r="CK272" s="9"/>
      <c r="CL272" s="9"/>
      <c r="CM272" s="9"/>
      <c r="CN272" s="9"/>
      <c r="CO272" s="9"/>
      <c r="CP272" s="9"/>
      <c r="CQ272" s="9"/>
      <c r="CR272" s="9"/>
      <c r="CS272" s="9"/>
      <c r="CT272" s="9"/>
      <c r="CU272" s="9"/>
      <c r="CV272" s="9"/>
      <c r="CW272" s="9"/>
      <c r="CX272" s="9"/>
      <c r="CY272" s="9"/>
      <c r="CZ272" s="9"/>
      <c r="DA272" s="9"/>
      <c r="DB272" s="9"/>
      <c r="DC272" s="9"/>
      <c r="DD272" s="9"/>
      <c r="DE272" s="9"/>
      <c r="DF272" s="9"/>
      <c r="DG272" s="9"/>
      <c r="DH272" s="9"/>
      <c r="DI272" s="9"/>
      <c r="DJ272" s="9"/>
      <c r="DK272" s="9"/>
      <c r="DL272" s="9"/>
      <c r="DM272" s="9"/>
      <c r="DN272" s="9"/>
      <c r="DO272" s="9"/>
      <c r="DP272" s="9"/>
      <c r="DQ272" s="9"/>
      <c r="DR272" s="9"/>
      <c r="DS272" s="9"/>
      <c r="DT272" s="9"/>
      <c r="DU272" s="9"/>
      <c r="DV272" s="9"/>
      <c r="DW272" s="9"/>
      <c r="DX272" s="9"/>
      <c r="DY272" s="9"/>
      <c r="DZ272" s="9"/>
      <c r="EA272" s="9"/>
      <c r="EB272" s="9"/>
      <c r="EC272" s="9"/>
      <c r="ED272" s="9"/>
      <c r="EE272" s="9"/>
      <c r="EF272" s="9"/>
      <c r="EG272" s="9"/>
      <c r="EH272" s="9"/>
      <c r="EI272" s="9"/>
      <c r="EJ272" s="9"/>
      <c r="EK272" s="9"/>
      <c r="EL272" s="9"/>
      <c r="EM272" s="9"/>
      <c r="EN272" s="9"/>
      <c r="EO272" s="9"/>
      <c r="EP272" s="9"/>
      <c r="EQ272" s="9"/>
      <c r="ER272" s="9"/>
      <c r="ES272" s="9"/>
      <c r="ET272" s="9"/>
      <c r="EU272" s="9"/>
      <c r="EV272" s="9"/>
      <c r="EW272" s="9"/>
      <c r="EX272" s="9"/>
      <c r="EY272" s="9"/>
      <c r="EZ272" s="9"/>
      <c r="FA272" s="9"/>
      <c r="FB272" s="9"/>
      <c r="FC272" s="9"/>
      <c r="FD272" s="9"/>
      <c r="FE272" s="9"/>
      <c r="FF272" s="9"/>
      <c r="FG272" s="9"/>
      <c r="FH272" s="9"/>
      <c r="FI272" s="9"/>
    </row>
    <row r="273" spans="1:165" x14ac:dyDescent="0.2">
      <c r="A273" s="1" t="s">
        <v>1207</v>
      </c>
      <c r="B273" s="1" t="s">
        <v>1208</v>
      </c>
      <c r="C273" s="1" t="s">
        <v>523</v>
      </c>
      <c r="D273" s="1" t="str">
        <f>HYPERLINK("http://eros.fiehnlab.ucdavis.edu:8080/binbase-compound/bin/show/223973?db=rtx5","223973")</f>
        <v>223973</v>
      </c>
      <c r="E273" s="1" t="s">
        <v>1209</v>
      </c>
      <c r="F273" s="1" t="s">
        <v>184</v>
      </c>
      <c r="G273" s="1" t="s">
        <v>184</v>
      </c>
      <c r="H273" s="1"/>
      <c r="I273" s="8">
        <v>245</v>
      </c>
      <c r="J273" s="8">
        <v>210</v>
      </c>
      <c r="K273" s="8">
        <v>243</v>
      </c>
      <c r="L273" s="8">
        <v>191</v>
      </c>
      <c r="M273" s="8">
        <v>251</v>
      </c>
      <c r="N273" s="8">
        <v>131</v>
      </c>
      <c r="O273" s="8">
        <v>241</v>
      </c>
      <c r="P273" s="8">
        <v>244</v>
      </c>
      <c r="Q273" s="8">
        <v>260</v>
      </c>
      <c r="R273" s="8">
        <v>266</v>
      </c>
      <c r="S273" s="8">
        <v>243</v>
      </c>
      <c r="T273" s="8">
        <v>138</v>
      </c>
      <c r="U273" s="8">
        <v>233</v>
      </c>
      <c r="V273" s="8">
        <v>98</v>
      </c>
      <c r="W273" s="8">
        <v>171</v>
      </c>
      <c r="X273" s="8">
        <v>247</v>
      </c>
      <c r="Y273" s="8">
        <v>193</v>
      </c>
      <c r="Z273" s="8">
        <v>212</v>
      </c>
      <c r="AA273" s="8">
        <v>123</v>
      </c>
      <c r="AB273" s="8">
        <v>282</v>
      </c>
      <c r="AC273" s="8">
        <v>125</v>
      </c>
      <c r="AD273" s="8">
        <v>162</v>
      </c>
      <c r="AE273" s="8">
        <v>215</v>
      </c>
      <c r="AF273" s="8">
        <v>111</v>
      </c>
      <c r="AG273" s="8">
        <v>225</v>
      </c>
      <c r="AH273" s="8">
        <v>161</v>
      </c>
      <c r="AI273" s="8">
        <v>199</v>
      </c>
      <c r="AJ273" s="8">
        <v>75</v>
      </c>
      <c r="AK273" s="8">
        <v>183</v>
      </c>
      <c r="AL273" s="8">
        <v>223</v>
      </c>
      <c r="AM273" s="8">
        <v>224</v>
      </c>
      <c r="AN273" s="8">
        <v>303</v>
      </c>
      <c r="AO273" s="8">
        <v>238</v>
      </c>
      <c r="AP273" s="8">
        <v>311</v>
      </c>
      <c r="AQ273" s="8">
        <v>234</v>
      </c>
      <c r="AR273" s="8">
        <v>164</v>
      </c>
      <c r="AS273" s="8">
        <v>119</v>
      </c>
      <c r="AT273" s="8">
        <v>299</v>
      </c>
      <c r="AU273" s="8">
        <v>213</v>
      </c>
      <c r="AV273" s="8">
        <v>245</v>
      </c>
      <c r="AW273" s="8">
        <v>89</v>
      </c>
      <c r="AX273" s="8">
        <v>185</v>
      </c>
      <c r="AY273" s="8">
        <v>336</v>
      </c>
      <c r="AZ273" s="8">
        <v>196</v>
      </c>
      <c r="BA273" s="8">
        <v>190</v>
      </c>
      <c r="BB273" s="8">
        <v>171</v>
      </c>
      <c r="BC273" s="8">
        <v>42</v>
      </c>
      <c r="BD273" s="8">
        <v>245</v>
      </c>
      <c r="BE273" s="8">
        <v>294</v>
      </c>
      <c r="BF273" s="8">
        <v>66</v>
      </c>
      <c r="BG273" s="8">
        <v>280</v>
      </c>
      <c r="BH273" s="8">
        <v>135</v>
      </c>
      <c r="BI273" s="8">
        <v>181</v>
      </c>
      <c r="BJ273" s="8">
        <v>286</v>
      </c>
      <c r="BK273" s="8">
        <v>72</v>
      </c>
      <c r="BL273" s="8">
        <v>208</v>
      </c>
      <c r="BM273" s="8">
        <v>193</v>
      </c>
      <c r="BN273" s="8">
        <v>171</v>
      </c>
      <c r="BO273" s="8">
        <v>256</v>
      </c>
      <c r="BP273" s="8">
        <v>182</v>
      </c>
      <c r="BQ273" s="8">
        <v>133</v>
      </c>
      <c r="BR273" s="8">
        <v>191</v>
      </c>
      <c r="BS273" s="8">
        <v>116</v>
      </c>
      <c r="BT273" s="8">
        <v>206</v>
      </c>
      <c r="BU273" s="8">
        <v>210</v>
      </c>
      <c r="BV273" s="8">
        <v>175</v>
      </c>
      <c r="BW273" s="8">
        <v>233</v>
      </c>
      <c r="BX273" s="8">
        <v>197</v>
      </c>
      <c r="BY273" s="8">
        <v>195</v>
      </c>
      <c r="BZ273" s="8">
        <v>165</v>
      </c>
      <c r="CA273" s="8">
        <v>228</v>
      </c>
      <c r="CB273" s="8">
        <v>168</v>
      </c>
      <c r="CC273" s="8">
        <v>125</v>
      </c>
      <c r="CD273" s="8">
        <v>191</v>
      </c>
      <c r="CE273" s="8">
        <v>235</v>
      </c>
      <c r="CF273" s="8">
        <v>192</v>
      </c>
      <c r="CG273" s="8">
        <v>218</v>
      </c>
      <c r="CH273" s="8">
        <v>181</v>
      </c>
      <c r="CJ273" s="9"/>
      <c r="CK273" s="9"/>
      <c r="CL273" s="9"/>
      <c r="CM273" s="9"/>
      <c r="CN273" s="9"/>
      <c r="CO273" s="9"/>
      <c r="CP273" s="9"/>
      <c r="CQ273" s="9"/>
      <c r="CR273" s="9"/>
      <c r="CS273" s="9"/>
      <c r="CT273" s="9"/>
      <c r="CU273" s="9"/>
      <c r="CV273" s="9"/>
      <c r="CW273" s="9"/>
      <c r="CX273" s="9"/>
      <c r="CY273" s="9"/>
      <c r="CZ273" s="9"/>
      <c r="DA273" s="9"/>
      <c r="DB273" s="9"/>
      <c r="DC273" s="9"/>
      <c r="DD273" s="9"/>
      <c r="DE273" s="9"/>
      <c r="DF273" s="9"/>
      <c r="DG273" s="9"/>
      <c r="DH273" s="9"/>
      <c r="DI273" s="9"/>
      <c r="DJ273" s="9"/>
      <c r="DK273" s="9"/>
      <c r="DL273" s="9"/>
      <c r="DM273" s="9"/>
      <c r="DN273" s="9"/>
      <c r="DO273" s="9"/>
      <c r="DP273" s="9"/>
      <c r="DQ273" s="9"/>
      <c r="DR273" s="9"/>
      <c r="DS273" s="9"/>
      <c r="DT273" s="9"/>
      <c r="DU273" s="9"/>
      <c r="DV273" s="9"/>
      <c r="DW273" s="9"/>
      <c r="DX273" s="9"/>
      <c r="DY273" s="9"/>
      <c r="DZ273" s="9"/>
      <c r="EA273" s="9"/>
      <c r="EB273" s="9"/>
      <c r="EC273" s="9"/>
      <c r="ED273" s="9"/>
      <c r="EE273" s="9"/>
      <c r="EF273" s="9"/>
      <c r="EG273" s="9"/>
      <c r="EH273" s="9"/>
      <c r="EI273" s="9"/>
      <c r="EJ273" s="9"/>
      <c r="EK273" s="9"/>
      <c r="EL273" s="9"/>
      <c r="EM273" s="9"/>
      <c r="EN273" s="9"/>
      <c r="EO273" s="9"/>
      <c r="EP273" s="9"/>
      <c r="EQ273" s="9"/>
      <c r="ER273" s="9"/>
      <c r="ES273" s="9"/>
      <c r="ET273" s="9"/>
      <c r="EU273" s="9"/>
      <c r="EV273" s="9"/>
      <c r="EW273" s="9"/>
      <c r="EX273" s="9"/>
      <c r="EY273" s="9"/>
      <c r="EZ273" s="9"/>
      <c r="FA273" s="9"/>
      <c r="FB273" s="9"/>
      <c r="FC273" s="9"/>
      <c r="FD273" s="9"/>
      <c r="FE273" s="9"/>
      <c r="FF273" s="9"/>
      <c r="FG273" s="9"/>
      <c r="FH273" s="9"/>
      <c r="FI273" s="9"/>
    </row>
    <row r="274" spans="1:165" x14ac:dyDescent="0.2">
      <c r="A274" s="1" t="s">
        <v>882</v>
      </c>
      <c r="B274" s="1" t="s">
        <v>883</v>
      </c>
      <c r="C274" s="1" t="s">
        <v>743</v>
      </c>
      <c r="D274" s="1" t="str">
        <f>HYPERLINK("http://eros.fiehnlab.ucdavis.edu:8080/binbase-compound/bin/show/301788?db=rtx5","301788")</f>
        <v>301788</v>
      </c>
      <c r="E274" s="1" t="s">
        <v>884</v>
      </c>
      <c r="F274" s="1" t="s">
        <v>184</v>
      </c>
      <c r="G274" s="1" t="s">
        <v>184</v>
      </c>
      <c r="H274" s="1"/>
      <c r="I274" s="8">
        <v>2215</v>
      </c>
      <c r="J274" s="8">
        <v>2565</v>
      </c>
      <c r="K274" s="8">
        <v>932</v>
      </c>
      <c r="L274" s="8">
        <v>937</v>
      </c>
      <c r="M274" s="8">
        <v>2925</v>
      </c>
      <c r="N274" s="8">
        <v>4966</v>
      </c>
      <c r="O274" s="8">
        <v>1022</v>
      </c>
      <c r="P274" s="8">
        <v>1146</v>
      </c>
      <c r="Q274" s="8">
        <v>2947</v>
      </c>
      <c r="R274" s="8">
        <v>2209</v>
      </c>
      <c r="S274" s="8">
        <v>2588</v>
      </c>
      <c r="T274" s="8">
        <v>1095</v>
      </c>
      <c r="U274" s="8">
        <v>563</v>
      </c>
      <c r="V274" s="8">
        <v>1623</v>
      </c>
      <c r="W274" s="8">
        <v>1784</v>
      </c>
      <c r="X274" s="8">
        <v>2441</v>
      </c>
      <c r="Y274" s="8">
        <v>3133</v>
      </c>
      <c r="Z274" s="8">
        <v>2445</v>
      </c>
      <c r="AA274" s="8">
        <v>844</v>
      </c>
      <c r="AB274" s="8">
        <v>1379</v>
      </c>
      <c r="AC274" s="8">
        <v>883</v>
      </c>
      <c r="AD274" s="8">
        <v>955</v>
      </c>
      <c r="AE274" s="8">
        <v>1494</v>
      </c>
      <c r="AF274" s="8">
        <v>383</v>
      </c>
      <c r="AG274" s="8">
        <v>1243</v>
      </c>
      <c r="AH274" s="8">
        <v>1655</v>
      </c>
      <c r="AI274" s="8">
        <v>862</v>
      </c>
      <c r="AJ274" s="8">
        <v>1233</v>
      </c>
      <c r="AK274" s="8">
        <v>2911</v>
      </c>
      <c r="AL274" s="8">
        <v>2919</v>
      </c>
      <c r="AM274" s="8">
        <v>2414</v>
      </c>
      <c r="AN274" s="8">
        <v>330</v>
      </c>
      <c r="AO274" s="8">
        <v>1144</v>
      </c>
      <c r="AP274" s="8">
        <v>2154</v>
      </c>
      <c r="AQ274" s="8">
        <v>2013</v>
      </c>
      <c r="AR274" s="8">
        <v>2144</v>
      </c>
      <c r="AS274" s="8">
        <v>1258</v>
      </c>
      <c r="AT274" s="8">
        <v>649</v>
      </c>
      <c r="AU274" s="8">
        <v>1303</v>
      </c>
      <c r="AV274" s="8">
        <v>1509</v>
      </c>
      <c r="AW274" s="8">
        <v>1862</v>
      </c>
      <c r="AX274" s="8">
        <v>561</v>
      </c>
      <c r="AY274" s="8">
        <v>1169</v>
      </c>
      <c r="AZ274" s="8">
        <v>1275</v>
      </c>
      <c r="BA274" s="8">
        <v>1881</v>
      </c>
      <c r="BB274" s="8">
        <v>2178</v>
      </c>
      <c r="BC274" s="8">
        <v>3131</v>
      </c>
      <c r="BD274" s="8">
        <v>2704</v>
      </c>
      <c r="BE274" s="8">
        <v>1440</v>
      </c>
      <c r="BF274" s="8">
        <v>1089</v>
      </c>
      <c r="BG274" s="8">
        <v>1399</v>
      </c>
      <c r="BH274" s="8">
        <v>1279</v>
      </c>
      <c r="BI274" s="8">
        <v>2863</v>
      </c>
      <c r="BJ274" s="8">
        <v>1835</v>
      </c>
      <c r="BK274" s="8">
        <v>1740</v>
      </c>
      <c r="BL274" s="8">
        <v>1957</v>
      </c>
      <c r="BM274" s="8">
        <v>1530</v>
      </c>
      <c r="BN274" s="8">
        <v>111</v>
      </c>
      <c r="BO274" s="8">
        <v>1715</v>
      </c>
      <c r="BP274" s="8">
        <v>773</v>
      </c>
      <c r="BQ274" s="8">
        <v>455</v>
      </c>
      <c r="BR274" s="8">
        <v>867</v>
      </c>
      <c r="BS274" s="8">
        <v>2006</v>
      </c>
      <c r="BT274" s="8">
        <v>2256</v>
      </c>
      <c r="BU274" s="8">
        <v>2650</v>
      </c>
      <c r="BV274" s="8">
        <v>1730</v>
      </c>
      <c r="BW274" s="8">
        <v>1802</v>
      </c>
      <c r="BX274" s="8">
        <v>723</v>
      </c>
      <c r="BY274" s="8">
        <v>1514</v>
      </c>
      <c r="BZ274" s="8">
        <v>455</v>
      </c>
      <c r="CA274" s="8">
        <v>3208</v>
      </c>
      <c r="CB274" s="8">
        <v>1276</v>
      </c>
      <c r="CC274" s="8">
        <v>748</v>
      </c>
      <c r="CD274" s="8">
        <v>720</v>
      </c>
      <c r="CE274" s="8">
        <v>1053</v>
      </c>
      <c r="CF274" s="8">
        <v>769</v>
      </c>
      <c r="CG274" s="8">
        <v>2014</v>
      </c>
      <c r="CH274" s="8">
        <v>1320</v>
      </c>
      <c r="CJ274" s="9"/>
      <c r="CK274" s="9"/>
      <c r="CL274" s="9"/>
      <c r="CM274" s="9"/>
      <c r="CN274" s="9"/>
      <c r="CO274" s="9"/>
      <c r="CP274" s="9"/>
      <c r="CQ274" s="9"/>
      <c r="CR274" s="9"/>
      <c r="CS274" s="9"/>
      <c r="CT274" s="9"/>
      <c r="CU274" s="9"/>
      <c r="CV274" s="9"/>
      <c r="CW274" s="9"/>
      <c r="CX274" s="9"/>
      <c r="CY274" s="9"/>
      <c r="CZ274" s="9"/>
      <c r="DA274" s="9"/>
      <c r="DB274" s="9"/>
      <c r="DC274" s="9"/>
      <c r="DD274" s="9"/>
      <c r="DE274" s="9"/>
      <c r="DF274" s="9"/>
      <c r="DG274" s="9"/>
      <c r="DH274" s="9"/>
      <c r="DI274" s="9"/>
      <c r="DJ274" s="9"/>
      <c r="DK274" s="9"/>
      <c r="DL274" s="9"/>
      <c r="DM274" s="9"/>
      <c r="DN274" s="9"/>
      <c r="DO274" s="9"/>
      <c r="DP274" s="9"/>
      <c r="DQ274" s="9"/>
      <c r="DR274" s="9"/>
      <c r="DS274" s="9"/>
      <c r="DT274" s="9"/>
      <c r="DU274" s="9"/>
      <c r="DV274" s="9"/>
      <c r="DW274" s="9"/>
      <c r="DX274" s="9"/>
      <c r="DY274" s="9"/>
      <c r="DZ274" s="9"/>
      <c r="EA274" s="9"/>
      <c r="EB274" s="9"/>
      <c r="EC274" s="9"/>
      <c r="ED274" s="9"/>
      <c r="EE274" s="9"/>
      <c r="EF274" s="9"/>
      <c r="EG274" s="9"/>
      <c r="EH274" s="9"/>
      <c r="EI274" s="9"/>
      <c r="EJ274" s="9"/>
      <c r="EK274" s="9"/>
      <c r="EL274" s="9"/>
      <c r="EM274" s="9"/>
      <c r="EN274" s="9"/>
      <c r="EO274" s="9"/>
      <c r="EP274" s="9"/>
      <c r="EQ274" s="9"/>
      <c r="ER274" s="9"/>
      <c r="ES274" s="9"/>
      <c r="ET274" s="9"/>
      <c r="EU274" s="9"/>
      <c r="EV274" s="9"/>
      <c r="EW274" s="9"/>
      <c r="EX274" s="9"/>
      <c r="EY274" s="9"/>
      <c r="EZ274" s="9"/>
      <c r="FA274" s="9"/>
      <c r="FB274" s="9"/>
      <c r="FC274" s="9"/>
      <c r="FD274" s="9"/>
      <c r="FE274" s="9"/>
      <c r="FF274" s="9"/>
      <c r="FG274" s="9"/>
      <c r="FH274" s="9"/>
      <c r="FI274" s="9"/>
    </row>
    <row r="275" spans="1:165" x14ac:dyDescent="0.2">
      <c r="A275" s="1" t="s">
        <v>941</v>
      </c>
      <c r="B275" s="1" t="s">
        <v>942</v>
      </c>
      <c r="C275" s="1" t="s">
        <v>627</v>
      </c>
      <c r="D275" s="1" t="str">
        <f>HYPERLINK("http://eros.fiehnlab.ucdavis.edu:8080/binbase-compound/bin/show/293097?db=rtx5","293097")</f>
        <v>293097</v>
      </c>
      <c r="E275" s="1" t="s">
        <v>943</v>
      </c>
      <c r="F275" s="1" t="s">
        <v>184</v>
      </c>
      <c r="G275" s="1" t="s">
        <v>184</v>
      </c>
      <c r="H275" s="1"/>
      <c r="I275" s="8">
        <v>228</v>
      </c>
      <c r="J275" s="8">
        <v>606</v>
      </c>
      <c r="K275" s="8">
        <v>316</v>
      </c>
      <c r="L275" s="8">
        <v>153</v>
      </c>
      <c r="M275" s="8">
        <v>369</v>
      </c>
      <c r="N275" s="8">
        <v>633</v>
      </c>
      <c r="O275" s="8">
        <v>288</v>
      </c>
      <c r="P275" s="8">
        <v>269</v>
      </c>
      <c r="Q275" s="8">
        <v>451</v>
      </c>
      <c r="R275" s="8">
        <v>333</v>
      </c>
      <c r="S275" s="8">
        <v>381</v>
      </c>
      <c r="T275" s="8">
        <v>345</v>
      </c>
      <c r="U275" s="8">
        <v>515</v>
      </c>
      <c r="V275" s="8">
        <v>408</v>
      </c>
      <c r="W275" s="8">
        <v>351</v>
      </c>
      <c r="X275" s="8">
        <v>581</v>
      </c>
      <c r="Y275" s="8">
        <v>337</v>
      </c>
      <c r="Z275" s="8">
        <v>369</v>
      </c>
      <c r="AA275" s="8">
        <v>317</v>
      </c>
      <c r="AB275" s="8">
        <v>255</v>
      </c>
      <c r="AC275" s="8">
        <v>264</v>
      </c>
      <c r="AD275" s="8">
        <v>201</v>
      </c>
      <c r="AE275" s="8">
        <v>343</v>
      </c>
      <c r="AF275" s="8">
        <v>263</v>
      </c>
      <c r="AG275" s="8">
        <v>539</v>
      </c>
      <c r="AH275" s="8">
        <v>403</v>
      </c>
      <c r="AI275" s="8">
        <v>288</v>
      </c>
      <c r="AJ275" s="8">
        <v>16847</v>
      </c>
      <c r="AK275" s="8">
        <v>254</v>
      </c>
      <c r="AL275" s="8">
        <v>183</v>
      </c>
      <c r="AM275" s="8">
        <v>501</v>
      </c>
      <c r="AN275" s="8">
        <v>445</v>
      </c>
      <c r="AO275" s="8">
        <v>259</v>
      </c>
      <c r="AP275" s="8">
        <v>540</v>
      </c>
      <c r="AQ275" s="8">
        <v>392</v>
      </c>
      <c r="AR275" s="8">
        <v>268</v>
      </c>
      <c r="AS275" s="8">
        <v>421</v>
      </c>
      <c r="AT275" s="8">
        <v>513</v>
      </c>
      <c r="AU275" s="8">
        <v>332</v>
      </c>
      <c r="AV275" s="8">
        <v>382</v>
      </c>
      <c r="AW275" s="8">
        <v>768</v>
      </c>
      <c r="AX275" s="8">
        <v>411</v>
      </c>
      <c r="AY275" s="8">
        <v>732</v>
      </c>
      <c r="AZ275" s="8">
        <v>498</v>
      </c>
      <c r="BA275" s="8">
        <v>289</v>
      </c>
      <c r="BB275" s="8">
        <v>236</v>
      </c>
      <c r="BC275" s="8">
        <v>252</v>
      </c>
      <c r="BD275" s="8">
        <v>215</v>
      </c>
      <c r="BE275" s="8">
        <v>394</v>
      </c>
      <c r="BF275" s="8">
        <v>383</v>
      </c>
      <c r="BG275" s="8">
        <v>302</v>
      </c>
      <c r="BH275" s="8">
        <v>241</v>
      </c>
      <c r="BI275" s="8">
        <v>410</v>
      </c>
      <c r="BJ275" s="8">
        <v>358</v>
      </c>
      <c r="BK275" s="8">
        <v>381</v>
      </c>
      <c r="BL275" s="8">
        <v>222</v>
      </c>
      <c r="BM275" s="8">
        <v>1081</v>
      </c>
      <c r="BN275" s="8">
        <v>336</v>
      </c>
      <c r="BO275" s="8">
        <v>512</v>
      </c>
      <c r="BP275" s="8">
        <v>383</v>
      </c>
      <c r="BQ275" s="8">
        <v>555</v>
      </c>
      <c r="BR275" s="8">
        <v>420</v>
      </c>
      <c r="BS275" s="8">
        <v>421</v>
      </c>
      <c r="BT275" s="8">
        <v>356</v>
      </c>
      <c r="BU275" s="8">
        <v>245</v>
      </c>
      <c r="BV275" s="8">
        <v>258</v>
      </c>
      <c r="BW275" s="8">
        <v>335</v>
      </c>
      <c r="BX275" s="8">
        <v>202</v>
      </c>
      <c r="BY275" s="8">
        <v>189</v>
      </c>
      <c r="BZ275" s="8">
        <v>313</v>
      </c>
      <c r="CA275" s="8">
        <v>268</v>
      </c>
      <c r="CB275" s="8">
        <v>133</v>
      </c>
      <c r="CC275" s="8">
        <v>219</v>
      </c>
      <c r="CD275" s="8">
        <v>316</v>
      </c>
      <c r="CE275" s="8">
        <v>338</v>
      </c>
      <c r="CF275" s="8">
        <v>221</v>
      </c>
      <c r="CG275" s="8">
        <v>898</v>
      </c>
      <c r="CH275" s="8">
        <v>342</v>
      </c>
      <c r="CJ275" s="9"/>
      <c r="CK275" s="9"/>
      <c r="CL275" s="9"/>
      <c r="CM275" s="9"/>
      <c r="CN275" s="9"/>
      <c r="CO275" s="9"/>
      <c r="CP275" s="9"/>
      <c r="CQ275" s="9"/>
      <c r="CR275" s="9"/>
      <c r="CS275" s="9"/>
      <c r="CT275" s="9"/>
      <c r="CU275" s="9"/>
      <c r="CV275" s="9"/>
      <c r="CW275" s="9"/>
      <c r="CX275" s="9"/>
      <c r="CY275" s="9"/>
      <c r="CZ275" s="9"/>
      <c r="DA275" s="9"/>
      <c r="DB275" s="9"/>
      <c r="DC275" s="9"/>
      <c r="DD275" s="9"/>
      <c r="DE275" s="9"/>
      <c r="DF275" s="9"/>
      <c r="DG275" s="9"/>
      <c r="DH275" s="9"/>
      <c r="DI275" s="9"/>
      <c r="DJ275" s="9"/>
      <c r="DK275" s="9"/>
      <c r="DL275" s="9"/>
      <c r="DM275" s="9"/>
      <c r="DN275" s="9"/>
      <c r="DO275" s="9"/>
      <c r="DP275" s="9"/>
      <c r="DQ275" s="9"/>
      <c r="DR275" s="9"/>
      <c r="DS275" s="9"/>
      <c r="DT275" s="9"/>
      <c r="DU275" s="9"/>
      <c r="DV275" s="9"/>
      <c r="DW275" s="9"/>
      <c r="DX275" s="9"/>
      <c r="DY275" s="9"/>
      <c r="DZ275" s="9"/>
      <c r="EA275" s="9"/>
      <c r="EB275" s="9"/>
      <c r="EC275" s="9"/>
      <c r="ED275" s="9"/>
      <c r="EE275" s="9"/>
      <c r="EF275" s="9"/>
      <c r="EG275" s="9"/>
      <c r="EH275" s="9"/>
      <c r="EI275" s="9"/>
      <c r="EJ275" s="9"/>
      <c r="EK275" s="9"/>
      <c r="EL275" s="9"/>
      <c r="EM275" s="9"/>
      <c r="EN275" s="9"/>
      <c r="EO275" s="9"/>
      <c r="EP275" s="9"/>
      <c r="EQ275" s="9"/>
      <c r="ER275" s="9"/>
      <c r="ES275" s="9"/>
      <c r="ET275" s="9"/>
      <c r="EU275" s="9"/>
      <c r="EV275" s="9"/>
      <c r="EW275" s="9"/>
      <c r="EX275" s="9"/>
      <c r="EY275" s="9"/>
      <c r="EZ275" s="9"/>
      <c r="FA275" s="9"/>
      <c r="FB275" s="9"/>
      <c r="FC275" s="9"/>
      <c r="FD275" s="9"/>
      <c r="FE275" s="9"/>
      <c r="FF275" s="9"/>
      <c r="FG275" s="9"/>
      <c r="FH275" s="9"/>
      <c r="FI275" s="9"/>
    </row>
    <row r="276" spans="1:165" x14ac:dyDescent="0.2">
      <c r="A276" s="1" t="s">
        <v>789</v>
      </c>
      <c r="B276" s="1" t="s">
        <v>790</v>
      </c>
      <c r="C276" s="1" t="s">
        <v>446</v>
      </c>
      <c r="D276" s="1" t="str">
        <f>HYPERLINK("http://eros.fiehnlab.ucdavis.edu:8080/binbase-compound/bin/show/362045?db=rtx5","362045")</f>
        <v>362045</v>
      </c>
      <c r="E276" s="1" t="s">
        <v>791</v>
      </c>
      <c r="F276" s="1" t="s">
        <v>184</v>
      </c>
      <c r="G276" s="1" t="s">
        <v>184</v>
      </c>
      <c r="H276" s="1"/>
      <c r="I276" s="8">
        <v>4298</v>
      </c>
      <c r="J276" s="8">
        <v>4678</v>
      </c>
      <c r="K276" s="8">
        <v>3673</v>
      </c>
      <c r="L276" s="8">
        <v>3822</v>
      </c>
      <c r="M276" s="8">
        <v>843</v>
      </c>
      <c r="N276" s="8">
        <v>604</v>
      </c>
      <c r="O276" s="8">
        <v>5295</v>
      </c>
      <c r="P276" s="8">
        <v>5541</v>
      </c>
      <c r="Q276" s="8">
        <v>1216</v>
      </c>
      <c r="R276" s="8">
        <v>1111</v>
      </c>
      <c r="S276" s="8">
        <v>951</v>
      </c>
      <c r="T276" s="8">
        <v>637</v>
      </c>
      <c r="U276" s="8">
        <v>4365</v>
      </c>
      <c r="V276" s="8">
        <v>4773</v>
      </c>
      <c r="W276" s="8">
        <v>3353</v>
      </c>
      <c r="X276" s="8">
        <v>5840</v>
      </c>
      <c r="Y276" s="8">
        <v>635</v>
      </c>
      <c r="Z276" s="8">
        <v>993</v>
      </c>
      <c r="AA276" s="8">
        <v>3911</v>
      </c>
      <c r="AB276" s="8">
        <v>3776</v>
      </c>
      <c r="AC276" s="8">
        <v>2356</v>
      </c>
      <c r="AD276" s="8">
        <v>3066</v>
      </c>
      <c r="AE276" s="8">
        <v>2892</v>
      </c>
      <c r="AF276" s="8">
        <v>656</v>
      </c>
      <c r="AG276" s="8">
        <v>4371</v>
      </c>
      <c r="AH276" s="8">
        <v>3453</v>
      </c>
      <c r="AI276" s="8">
        <v>4111</v>
      </c>
      <c r="AJ276" s="8">
        <v>5024</v>
      </c>
      <c r="AK276" s="8">
        <v>3694</v>
      </c>
      <c r="AL276" s="8">
        <v>988</v>
      </c>
      <c r="AM276" s="8">
        <v>5667</v>
      </c>
      <c r="AN276" s="8">
        <v>5162</v>
      </c>
      <c r="AO276" s="8">
        <v>5637</v>
      </c>
      <c r="AP276" s="8">
        <v>4889</v>
      </c>
      <c r="AQ276" s="8">
        <v>917</v>
      </c>
      <c r="AR276" s="8">
        <v>876</v>
      </c>
      <c r="AS276" s="8">
        <v>6358</v>
      </c>
      <c r="AT276" s="8">
        <v>5875</v>
      </c>
      <c r="AU276" s="8">
        <v>6558</v>
      </c>
      <c r="AV276" s="8">
        <v>6853</v>
      </c>
      <c r="AW276" s="8">
        <v>5483</v>
      </c>
      <c r="AX276" s="8">
        <v>5933</v>
      </c>
      <c r="AY276" s="8">
        <v>3700</v>
      </c>
      <c r="AZ276" s="8">
        <v>3823</v>
      </c>
      <c r="BA276" s="8">
        <v>3621</v>
      </c>
      <c r="BB276" s="8">
        <v>880</v>
      </c>
      <c r="BC276" s="8">
        <v>858</v>
      </c>
      <c r="BD276" s="8">
        <v>1150</v>
      </c>
      <c r="BE276" s="8">
        <v>3573</v>
      </c>
      <c r="BF276" s="8">
        <v>3550</v>
      </c>
      <c r="BG276" s="8">
        <v>4158</v>
      </c>
      <c r="BH276" s="8">
        <v>4651</v>
      </c>
      <c r="BI276" s="8">
        <v>790</v>
      </c>
      <c r="BJ276" s="8">
        <v>872</v>
      </c>
      <c r="BK276" s="8">
        <v>5676</v>
      </c>
      <c r="BL276" s="8">
        <v>6213</v>
      </c>
      <c r="BM276" s="8">
        <v>6507</v>
      </c>
      <c r="BN276" s="8">
        <v>5852</v>
      </c>
      <c r="BO276" s="8">
        <v>5686</v>
      </c>
      <c r="BP276" s="8">
        <v>4847</v>
      </c>
      <c r="BQ276" s="8">
        <v>6078</v>
      </c>
      <c r="BR276" s="8">
        <v>5830</v>
      </c>
      <c r="BS276" s="8">
        <v>6028</v>
      </c>
      <c r="BT276" s="8">
        <v>1054</v>
      </c>
      <c r="BU276" s="8">
        <v>6662</v>
      </c>
      <c r="BV276" s="8">
        <v>5361</v>
      </c>
      <c r="BW276" s="8">
        <v>3872</v>
      </c>
      <c r="BX276" s="8">
        <v>3765</v>
      </c>
      <c r="BY276" s="8">
        <v>3811</v>
      </c>
      <c r="BZ276" s="8">
        <v>3541</v>
      </c>
      <c r="CA276" s="8">
        <v>845</v>
      </c>
      <c r="CB276" s="8">
        <v>607</v>
      </c>
      <c r="CC276" s="8">
        <v>3474</v>
      </c>
      <c r="CD276" s="8">
        <v>3689</v>
      </c>
      <c r="CE276" s="8">
        <v>3519</v>
      </c>
      <c r="CF276" s="8">
        <v>4892</v>
      </c>
      <c r="CG276" s="8">
        <v>4825</v>
      </c>
      <c r="CH276" s="8">
        <v>829</v>
      </c>
      <c r="CJ276" s="9"/>
      <c r="CK276" s="9"/>
      <c r="CL276" s="9"/>
      <c r="CM276" s="9"/>
      <c r="CN276" s="9"/>
      <c r="CO276" s="9"/>
      <c r="CP276" s="9"/>
      <c r="CQ276" s="9"/>
      <c r="CR276" s="9"/>
      <c r="CS276" s="9"/>
      <c r="CT276" s="9"/>
      <c r="CU276" s="9"/>
      <c r="CV276" s="9"/>
      <c r="CW276" s="9"/>
      <c r="CX276" s="9"/>
      <c r="CY276" s="9"/>
      <c r="CZ276" s="9"/>
      <c r="DA276" s="9"/>
      <c r="DB276" s="9"/>
      <c r="DC276" s="9"/>
      <c r="DD276" s="9"/>
      <c r="DE276" s="9"/>
      <c r="DF276" s="9"/>
      <c r="DG276" s="9"/>
      <c r="DH276" s="9"/>
      <c r="DI276" s="9"/>
      <c r="DJ276" s="9"/>
      <c r="DK276" s="9"/>
      <c r="DL276" s="9"/>
      <c r="DM276" s="9"/>
      <c r="DN276" s="9"/>
      <c r="DO276" s="9"/>
      <c r="DP276" s="9"/>
      <c r="DQ276" s="9"/>
      <c r="DR276" s="9"/>
      <c r="DS276" s="9"/>
      <c r="DT276" s="9"/>
      <c r="DU276" s="9"/>
      <c r="DV276" s="9"/>
      <c r="DW276" s="9"/>
      <c r="DX276" s="9"/>
      <c r="DY276" s="9"/>
      <c r="DZ276" s="9"/>
      <c r="EA276" s="9"/>
      <c r="EB276" s="9"/>
      <c r="EC276" s="9"/>
      <c r="ED276" s="9"/>
      <c r="EE276" s="9"/>
      <c r="EF276" s="9"/>
      <c r="EG276" s="9"/>
      <c r="EH276" s="9"/>
      <c r="EI276" s="9"/>
      <c r="EJ276" s="9"/>
      <c r="EK276" s="9"/>
      <c r="EL276" s="9"/>
      <c r="EM276" s="9"/>
      <c r="EN276" s="9"/>
      <c r="EO276" s="9"/>
      <c r="EP276" s="9"/>
      <c r="EQ276" s="9"/>
      <c r="ER276" s="9"/>
      <c r="ES276" s="9"/>
      <c r="ET276" s="9"/>
      <c r="EU276" s="9"/>
      <c r="EV276" s="9"/>
      <c r="EW276" s="9"/>
      <c r="EX276" s="9"/>
      <c r="EY276" s="9"/>
      <c r="EZ276" s="9"/>
      <c r="FA276" s="9"/>
      <c r="FB276" s="9"/>
      <c r="FC276" s="9"/>
      <c r="FD276" s="9"/>
      <c r="FE276" s="9"/>
      <c r="FF276" s="9"/>
      <c r="FG276" s="9"/>
      <c r="FH276" s="9"/>
      <c r="FI276" s="9"/>
    </row>
    <row r="277" spans="1:165" x14ac:dyDescent="0.2">
      <c r="A277" s="1" t="s">
        <v>1281</v>
      </c>
      <c r="B277" s="1" t="s">
        <v>1282</v>
      </c>
      <c r="C277" s="1" t="s">
        <v>615</v>
      </c>
      <c r="D277" s="1" t="str">
        <f>HYPERLINK("http://eros.fiehnlab.ucdavis.edu:8080/binbase-compound/bin/show/213697?db=rtx5","213697")</f>
        <v>213697</v>
      </c>
      <c r="E277" s="1" t="s">
        <v>1283</v>
      </c>
      <c r="F277" s="1" t="s">
        <v>184</v>
      </c>
      <c r="G277" s="1" t="s">
        <v>184</v>
      </c>
      <c r="H277" s="1"/>
      <c r="I277" s="8">
        <v>175</v>
      </c>
      <c r="J277" s="8">
        <v>267</v>
      </c>
      <c r="K277" s="8">
        <v>211</v>
      </c>
      <c r="L277" s="8">
        <v>266</v>
      </c>
      <c r="M277" s="8">
        <v>171</v>
      </c>
      <c r="N277" s="8">
        <v>299</v>
      </c>
      <c r="O277" s="8">
        <v>159</v>
      </c>
      <c r="P277" s="8">
        <v>208</v>
      </c>
      <c r="Q277" s="8">
        <v>186</v>
      </c>
      <c r="R277" s="8">
        <v>237</v>
      </c>
      <c r="S277" s="8">
        <v>241</v>
      </c>
      <c r="T277" s="8">
        <v>372</v>
      </c>
      <c r="U277" s="8">
        <v>268</v>
      </c>
      <c r="V277" s="8">
        <v>163</v>
      </c>
      <c r="W277" s="8">
        <v>222</v>
      </c>
      <c r="X277" s="8">
        <v>238</v>
      </c>
      <c r="Y277" s="8">
        <v>267</v>
      </c>
      <c r="Z277" s="8">
        <v>328</v>
      </c>
      <c r="AA277" s="8">
        <v>165</v>
      </c>
      <c r="AB277" s="8">
        <v>489</v>
      </c>
      <c r="AC277" s="8">
        <v>469</v>
      </c>
      <c r="AD277" s="8">
        <v>493</v>
      </c>
      <c r="AE277" s="8">
        <v>377</v>
      </c>
      <c r="AF277" s="8">
        <v>353</v>
      </c>
      <c r="AG277" s="8">
        <v>184</v>
      </c>
      <c r="AH277" s="8">
        <v>78</v>
      </c>
      <c r="AI277" s="8">
        <v>413</v>
      </c>
      <c r="AJ277" s="8">
        <v>266</v>
      </c>
      <c r="AK277" s="8">
        <v>321</v>
      </c>
      <c r="AL277" s="8">
        <v>243</v>
      </c>
      <c r="AM277" s="8">
        <v>173</v>
      </c>
      <c r="AN277" s="8">
        <v>176</v>
      </c>
      <c r="AO277" s="8">
        <v>244</v>
      </c>
      <c r="AP277" s="8">
        <v>187</v>
      </c>
      <c r="AQ277" s="8">
        <v>195</v>
      </c>
      <c r="AR277" s="8">
        <v>213</v>
      </c>
      <c r="AS277" s="8">
        <v>161</v>
      </c>
      <c r="AT277" s="8">
        <v>211</v>
      </c>
      <c r="AU277" s="8">
        <v>228</v>
      </c>
      <c r="AV277" s="8">
        <v>266</v>
      </c>
      <c r="AW277" s="8">
        <v>128</v>
      </c>
      <c r="AX277" s="8">
        <v>271</v>
      </c>
      <c r="AY277" s="8">
        <v>524</v>
      </c>
      <c r="AZ277" s="8">
        <v>303</v>
      </c>
      <c r="BA277" s="8">
        <v>333</v>
      </c>
      <c r="BB277" s="8">
        <v>441</v>
      </c>
      <c r="BC277" s="8">
        <v>460</v>
      </c>
      <c r="BD277" s="8">
        <v>566</v>
      </c>
      <c r="BE277" s="8">
        <v>288</v>
      </c>
      <c r="BF277" s="8">
        <v>321</v>
      </c>
      <c r="BG277" s="8">
        <v>372</v>
      </c>
      <c r="BH277" s="8">
        <v>282</v>
      </c>
      <c r="BI277" s="8">
        <v>255</v>
      </c>
      <c r="BJ277" s="8">
        <v>370</v>
      </c>
      <c r="BK277" s="8">
        <v>190</v>
      </c>
      <c r="BL277" s="8">
        <v>211</v>
      </c>
      <c r="BM277" s="8">
        <v>265</v>
      </c>
      <c r="BN277" s="8">
        <v>124</v>
      </c>
      <c r="BO277" s="8">
        <v>174</v>
      </c>
      <c r="BP277" s="8">
        <v>181</v>
      </c>
      <c r="BQ277" s="8">
        <v>177</v>
      </c>
      <c r="BR277" s="8">
        <v>199</v>
      </c>
      <c r="BS277" s="8">
        <v>182</v>
      </c>
      <c r="BT277" s="8">
        <v>225</v>
      </c>
      <c r="BU277" s="8">
        <v>206</v>
      </c>
      <c r="BV277" s="8">
        <v>262</v>
      </c>
      <c r="BW277" s="8">
        <v>250</v>
      </c>
      <c r="BX277" s="8">
        <v>396</v>
      </c>
      <c r="BY277" s="8">
        <v>641</v>
      </c>
      <c r="BZ277" s="8">
        <v>297</v>
      </c>
      <c r="CA277" s="8">
        <v>241</v>
      </c>
      <c r="CB277" s="8">
        <v>415</v>
      </c>
      <c r="CC277" s="8">
        <v>226</v>
      </c>
      <c r="CD277" s="8">
        <v>231</v>
      </c>
      <c r="CE277" s="8">
        <v>350</v>
      </c>
      <c r="CF277" s="8">
        <v>270</v>
      </c>
      <c r="CG277" s="8">
        <v>308</v>
      </c>
      <c r="CH277" s="8">
        <v>372</v>
      </c>
      <c r="CJ277" s="9"/>
      <c r="CK277" s="9"/>
      <c r="CL277" s="9"/>
      <c r="CM277" s="9"/>
      <c r="CN277" s="9"/>
      <c r="CO277" s="9"/>
      <c r="CP277" s="9"/>
      <c r="CQ277" s="9"/>
      <c r="CR277" s="9"/>
      <c r="CS277" s="9"/>
      <c r="CT277" s="9"/>
      <c r="CU277" s="9"/>
      <c r="CV277" s="9"/>
      <c r="CW277" s="9"/>
      <c r="CX277" s="9"/>
      <c r="CY277" s="9"/>
      <c r="CZ277" s="9"/>
      <c r="DA277" s="9"/>
      <c r="DB277" s="9"/>
      <c r="DC277" s="9"/>
      <c r="DD277" s="9"/>
      <c r="DE277" s="9"/>
      <c r="DF277" s="9"/>
      <c r="DG277" s="9"/>
      <c r="DH277" s="9"/>
      <c r="DI277" s="9"/>
      <c r="DJ277" s="9"/>
      <c r="DK277" s="9"/>
      <c r="DL277" s="9"/>
      <c r="DM277" s="9"/>
      <c r="DN277" s="9"/>
      <c r="DO277" s="9"/>
      <c r="DP277" s="9"/>
      <c r="DQ277" s="9"/>
      <c r="DR277" s="9"/>
      <c r="DS277" s="9"/>
      <c r="DT277" s="9"/>
      <c r="DU277" s="9"/>
      <c r="DV277" s="9"/>
      <c r="DW277" s="9"/>
      <c r="DX277" s="9"/>
      <c r="DY277" s="9"/>
      <c r="DZ277" s="9"/>
      <c r="EA277" s="9"/>
      <c r="EB277" s="9"/>
      <c r="EC277" s="9"/>
      <c r="ED277" s="9"/>
      <c r="EE277" s="9"/>
      <c r="EF277" s="9"/>
      <c r="EG277" s="9"/>
      <c r="EH277" s="9"/>
      <c r="EI277" s="9"/>
      <c r="EJ277" s="9"/>
      <c r="EK277" s="9"/>
      <c r="EL277" s="9"/>
      <c r="EM277" s="9"/>
      <c r="EN277" s="9"/>
      <c r="EO277" s="9"/>
      <c r="EP277" s="9"/>
      <c r="EQ277" s="9"/>
      <c r="ER277" s="9"/>
      <c r="ES277" s="9"/>
      <c r="ET277" s="9"/>
      <c r="EU277" s="9"/>
      <c r="EV277" s="9"/>
      <c r="EW277" s="9"/>
      <c r="EX277" s="9"/>
      <c r="EY277" s="9"/>
      <c r="EZ277" s="9"/>
      <c r="FA277" s="9"/>
      <c r="FB277" s="9"/>
      <c r="FC277" s="9"/>
      <c r="FD277" s="9"/>
      <c r="FE277" s="9"/>
      <c r="FF277" s="9"/>
      <c r="FG277" s="9"/>
      <c r="FH277" s="9"/>
      <c r="FI277" s="9"/>
    </row>
    <row r="278" spans="1:165" x14ac:dyDescent="0.2">
      <c r="A278" s="1" t="s">
        <v>1104</v>
      </c>
      <c r="B278" s="1" t="s">
        <v>1105</v>
      </c>
      <c r="C278" s="1" t="s">
        <v>962</v>
      </c>
      <c r="D278" s="1" t="str">
        <f>HYPERLINK("http://eros.fiehnlab.ucdavis.edu:8080/binbase-compound/bin/show/231657?db=rtx5","231657")</f>
        <v>231657</v>
      </c>
      <c r="E278" s="1" t="s">
        <v>1106</v>
      </c>
      <c r="F278" s="1" t="s">
        <v>184</v>
      </c>
      <c r="G278" s="1" t="s">
        <v>184</v>
      </c>
      <c r="H278" s="1"/>
      <c r="I278" s="8">
        <v>384</v>
      </c>
      <c r="J278" s="8">
        <v>384</v>
      </c>
      <c r="K278" s="8">
        <v>343</v>
      </c>
      <c r="L278" s="8">
        <v>477</v>
      </c>
      <c r="M278" s="8">
        <v>429</v>
      </c>
      <c r="N278" s="8">
        <v>568</v>
      </c>
      <c r="O278" s="8">
        <v>784</v>
      </c>
      <c r="P278" s="8">
        <v>625</v>
      </c>
      <c r="Q278" s="8">
        <v>534</v>
      </c>
      <c r="R278" s="8">
        <v>781</v>
      </c>
      <c r="S278" s="8">
        <v>726</v>
      </c>
      <c r="T278" s="8">
        <v>494</v>
      </c>
      <c r="U278" s="8">
        <v>571</v>
      </c>
      <c r="V278" s="8">
        <v>718</v>
      </c>
      <c r="W278" s="8">
        <v>358</v>
      </c>
      <c r="X278" s="8">
        <v>510</v>
      </c>
      <c r="Y278" s="8">
        <v>765</v>
      </c>
      <c r="Z278" s="8">
        <v>446</v>
      </c>
      <c r="AA278" s="8">
        <v>182</v>
      </c>
      <c r="AB278" s="8">
        <v>428</v>
      </c>
      <c r="AC278" s="8">
        <v>419</v>
      </c>
      <c r="AD278" s="8">
        <v>540</v>
      </c>
      <c r="AE278" s="8">
        <v>446</v>
      </c>
      <c r="AF278" s="8">
        <v>408</v>
      </c>
      <c r="AG278" s="8">
        <v>533</v>
      </c>
      <c r="AH278" s="8">
        <v>584</v>
      </c>
      <c r="AI278" s="8">
        <v>454</v>
      </c>
      <c r="AJ278" s="8">
        <v>323</v>
      </c>
      <c r="AK278" s="8">
        <v>476</v>
      </c>
      <c r="AL278" s="8">
        <v>810</v>
      </c>
      <c r="AM278" s="8">
        <v>635</v>
      </c>
      <c r="AN278" s="8">
        <v>370</v>
      </c>
      <c r="AO278" s="8">
        <v>431</v>
      </c>
      <c r="AP278" s="8">
        <v>611</v>
      </c>
      <c r="AQ278" s="8">
        <v>599</v>
      </c>
      <c r="AR278" s="8">
        <v>467</v>
      </c>
      <c r="AS278" s="8">
        <v>477</v>
      </c>
      <c r="AT278" s="8">
        <v>609</v>
      </c>
      <c r="AU278" s="8">
        <v>394</v>
      </c>
      <c r="AV278" s="8">
        <v>71</v>
      </c>
      <c r="AW278" s="8">
        <v>460</v>
      </c>
      <c r="AX278" s="8">
        <v>479</v>
      </c>
      <c r="AY278" s="8">
        <v>998</v>
      </c>
      <c r="AZ278" s="8">
        <v>518</v>
      </c>
      <c r="BA278" s="8">
        <v>541</v>
      </c>
      <c r="BB278" s="8">
        <v>586</v>
      </c>
      <c r="BC278" s="8">
        <v>654</v>
      </c>
      <c r="BD278" s="8">
        <v>692</v>
      </c>
      <c r="BE278" s="8">
        <v>445</v>
      </c>
      <c r="BF278" s="8">
        <v>498</v>
      </c>
      <c r="BG278" s="8">
        <v>476</v>
      </c>
      <c r="BH278" s="8">
        <v>365</v>
      </c>
      <c r="BI278" s="8">
        <v>576</v>
      </c>
      <c r="BJ278" s="8">
        <v>512</v>
      </c>
      <c r="BK278" s="8">
        <v>834</v>
      </c>
      <c r="BL278" s="8">
        <v>588</v>
      </c>
      <c r="BM278" s="8">
        <v>756</v>
      </c>
      <c r="BN278" s="8">
        <v>414</v>
      </c>
      <c r="BO278" s="8">
        <v>526</v>
      </c>
      <c r="BP278" s="8">
        <v>394</v>
      </c>
      <c r="BQ278" s="8">
        <v>454</v>
      </c>
      <c r="BR278" s="8">
        <v>357</v>
      </c>
      <c r="BS278" s="8">
        <v>475</v>
      </c>
      <c r="BT278" s="8">
        <v>464</v>
      </c>
      <c r="BU278" s="8">
        <v>569</v>
      </c>
      <c r="BV278" s="8">
        <v>353</v>
      </c>
      <c r="BW278" s="8">
        <v>407</v>
      </c>
      <c r="BX278" s="8">
        <v>635</v>
      </c>
      <c r="BY278" s="8">
        <v>430</v>
      </c>
      <c r="BZ278" s="8">
        <v>654</v>
      </c>
      <c r="CA278" s="8">
        <v>503</v>
      </c>
      <c r="CB278" s="8">
        <v>541</v>
      </c>
      <c r="CC278" s="8">
        <v>468</v>
      </c>
      <c r="CD278" s="8">
        <v>663</v>
      </c>
      <c r="CE278" s="8">
        <v>583</v>
      </c>
      <c r="CF278" s="8">
        <v>647</v>
      </c>
      <c r="CG278" s="8">
        <v>440</v>
      </c>
      <c r="CH278" s="8">
        <v>468</v>
      </c>
      <c r="CJ278" s="9"/>
      <c r="CK278" s="9"/>
      <c r="CL278" s="9"/>
      <c r="CM278" s="9"/>
      <c r="CN278" s="9"/>
      <c r="CO278" s="9"/>
      <c r="CP278" s="9"/>
      <c r="CQ278" s="9"/>
      <c r="CR278" s="9"/>
      <c r="CS278" s="9"/>
      <c r="CT278" s="9"/>
      <c r="CU278" s="9"/>
      <c r="CV278" s="9"/>
      <c r="CW278" s="9"/>
      <c r="CX278" s="9"/>
      <c r="CY278" s="9"/>
      <c r="CZ278" s="9"/>
      <c r="DA278" s="9"/>
      <c r="DB278" s="9"/>
      <c r="DC278" s="9"/>
      <c r="DD278" s="9"/>
      <c r="DE278" s="9"/>
      <c r="DF278" s="9"/>
      <c r="DG278" s="9"/>
      <c r="DH278" s="9"/>
      <c r="DI278" s="9"/>
      <c r="DJ278" s="9"/>
      <c r="DK278" s="9"/>
      <c r="DL278" s="9"/>
      <c r="DM278" s="9"/>
      <c r="DN278" s="9"/>
      <c r="DO278" s="9"/>
      <c r="DP278" s="9"/>
      <c r="DQ278" s="9"/>
      <c r="DR278" s="9"/>
      <c r="DS278" s="9"/>
      <c r="DT278" s="9"/>
      <c r="DU278" s="9"/>
      <c r="DV278" s="9"/>
      <c r="DW278" s="9"/>
      <c r="DX278" s="9"/>
      <c r="DY278" s="9"/>
      <c r="DZ278" s="9"/>
      <c r="EA278" s="9"/>
      <c r="EB278" s="9"/>
      <c r="EC278" s="9"/>
      <c r="ED278" s="9"/>
      <c r="EE278" s="9"/>
      <c r="EF278" s="9"/>
      <c r="EG278" s="9"/>
      <c r="EH278" s="9"/>
      <c r="EI278" s="9"/>
      <c r="EJ278" s="9"/>
      <c r="EK278" s="9"/>
      <c r="EL278" s="9"/>
      <c r="EM278" s="9"/>
      <c r="EN278" s="9"/>
      <c r="EO278" s="9"/>
      <c r="EP278" s="9"/>
      <c r="EQ278" s="9"/>
      <c r="ER278" s="9"/>
      <c r="ES278" s="9"/>
      <c r="ET278" s="9"/>
      <c r="EU278" s="9"/>
      <c r="EV278" s="9"/>
      <c r="EW278" s="9"/>
      <c r="EX278" s="9"/>
      <c r="EY278" s="9"/>
      <c r="EZ278" s="9"/>
      <c r="FA278" s="9"/>
      <c r="FB278" s="9"/>
      <c r="FC278" s="9"/>
      <c r="FD278" s="9"/>
      <c r="FE278" s="9"/>
      <c r="FF278" s="9"/>
      <c r="FG278" s="9"/>
      <c r="FH278" s="9"/>
      <c r="FI278" s="9"/>
    </row>
    <row r="279" spans="1:165" x14ac:dyDescent="0.2">
      <c r="A279" s="1" t="s">
        <v>1051</v>
      </c>
      <c r="B279" s="1" t="s">
        <v>1052</v>
      </c>
      <c r="C279" s="1" t="s">
        <v>336</v>
      </c>
      <c r="D279" s="1" t="str">
        <f>HYPERLINK("http://eros.fiehnlab.ucdavis.edu:8080/binbase-compound/bin/show/242219?db=rtx5","242219")</f>
        <v>242219</v>
      </c>
      <c r="E279" s="1" t="s">
        <v>1053</v>
      </c>
      <c r="F279" s="1" t="s">
        <v>184</v>
      </c>
      <c r="G279" s="1" t="s">
        <v>184</v>
      </c>
      <c r="H279" s="1"/>
      <c r="I279" s="8">
        <v>1105</v>
      </c>
      <c r="J279" s="8">
        <v>390</v>
      </c>
      <c r="K279" s="8">
        <v>722</v>
      </c>
      <c r="L279" s="8">
        <v>294</v>
      </c>
      <c r="M279" s="8">
        <v>457</v>
      </c>
      <c r="N279" s="8">
        <v>380</v>
      </c>
      <c r="O279" s="8">
        <v>481</v>
      </c>
      <c r="P279" s="8">
        <v>1050</v>
      </c>
      <c r="Q279" s="8">
        <v>444</v>
      </c>
      <c r="R279" s="8">
        <v>800</v>
      </c>
      <c r="S279" s="8">
        <v>458</v>
      </c>
      <c r="T279" s="8">
        <v>594</v>
      </c>
      <c r="U279" s="8">
        <v>699</v>
      </c>
      <c r="V279" s="8">
        <v>552</v>
      </c>
      <c r="W279" s="8">
        <v>521</v>
      </c>
      <c r="X279" s="8">
        <v>724</v>
      </c>
      <c r="Y279" s="8">
        <v>423</v>
      </c>
      <c r="Z279" s="8">
        <v>463</v>
      </c>
      <c r="AA279" s="8">
        <v>479</v>
      </c>
      <c r="AB279" s="8">
        <v>425</v>
      </c>
      <c r="AC279" s="8">
        <v>895</v>
      </c>
      <c r="AD279" s="8">
        <v>715</v>
      </c>
      <c r="AE279" s="8">
        <v>496</v>
      </c>
      <c r="AF279" s="8">
        <v>300</v>
      </c>
      <c r="AG279" s="8">
        <v>509</v>
      </c>
      <c r="AH279" s="8">
        <v>311</v>
      </c>
      <c r="AI279" s="8">
        <v>372</v>
      </c>
      <c r="AJ279" s="8">
        <v>1003</v>
      </c>
      <c r="AK279" s="8">
        <v>550</v>
      </c>
      <c r="AL279" s="8">
        <v>363</v>
      </c>
      <c r="AM279" s="8">
        <v>914</v>
      </c>
      <c r="AN279" s="8">
        <v>864</v>
      </c>
      <c r="AO279" s="8">
        <v>580</v>
      </c>
      <c r="AP279" s="8">
        <v>345</v>
      </c>
      <c r="AQ279" s="8">
        <v>447</v>
      </c>
      <c r="AR279" s="8">
        <v>410</v>
      </c>
      <c r="AS279" s="8">
        <v>676</v>
      </c>
      <c r="AT279" s="8">
        <v>618</v>
      </c>
      <c r="AU279" s="8">
        <v>661</v>
      </c>
      <c r="AV279" s="8">
        <v>522</v>
      </c>
      <c r="AW279" s="8">
        <v>586</v>
      </c>
      <c r="AX279" s="8">
        <v>529</v>
      </c>
      <c r="AY279" s="8">
        <v>1226</v>
      </c>
      <c r="AZ279" s="8">
        <v>376</v>
      </c>
      <c r="BA279" s="8">
        <v>429</v>
      </c>
      <c r="BB279" s="8">
        <v>774</v>
      </c>
      <c r="BC279" s="8">
        <v>460</v>
      </c>
      <c r="BD279" s="8">
        <v>355</v>
      </c>
      <c r="BE279" s="8">
        <v>775</v>
      </c>
      <c r="BF279" s="8">
        <v>748</v>
      </c>
      <c r="BG279" s="8">
        <v>696</v>
      </c>
      <c r="BH279" s="8">
        <v>710</v>
      </c>
      <c r="BI279" s="8">
        <v>390</v>
      </c>
      <c r="BJ279" s="8">
        <v>441</v>
      </c>
      <c r="BK279" s="8">
        <v>1187</v>
      </c>
      <c r="BL279" s="8">
        <v>1089</v>
      </c>
      <c r="BM279" s="8">
        <v>1090</v>
      </c>
      <c r="BN279" s="8">
        <v>374</v>
      </c>
      <c r="BO279" s="8">
        <v>524</v>
      </c>
      <c r="BP279" s="8">
        <v>398</v>
      </c>
      <c r="BQ279" s="8">
        <v>630</v>
      </c>
      <c r="BR279" s="8">
        <v>573</v>
      </c>
      <c r="BS279" s="8">
        <v>1040</v>
      </c>
      <c r="BT279" s="8">
        <v>533</v>
      </c>
      <c r="BU279" s="8">
        <v>548</v>
      </c>
      <c r="BV279" s="8">
        <v>811</v>
      </c>
      <c r="BW279" s="8">
        <v>471</v>
      </c>
      <c r="BX279" s="8">
        <v>925</v>
      </c>
      <c r="BY279" s="8">
        <v>613</v>
      </c>
      <c r="BZ279" s="8">
        <v>417</v>
      </c>
      <c r="CA279" s="8">
        <v>527</v>
      </c>
      <c r="CB279" s="8">
        <v>352</v>
      </c>
      <c r="CC279" s="8">
        <v>517</v>
      </c>
      <c r="CD279" s="8">
        <v>449</v>
      </c>
      <c r="CE279" s="8">
        <v>660</v>
      </c>
      <c r="CF279" s="8">
        <v>656</v>
      </c>
      <c r="CG279" s="8">
        <v>650</v>
      </c>
      <c r="CH279" s="8">
        <v>479</v>
      </c>
      <c r="CJ279" s="9"/>
      <c r="CK279" s="9"/>
      <c r="CL279" s="9"/>
      <c r="CM279" s="9"/>
      <c r="CN279" s="9"/>
      <c r="CO279" s="9"/>
      <c r="CP279" s="9"/>
      <c r="CQ279" s="9"/>
      <c r="CR279" s="9"/>
      <c r="CS279" s="9"/>
      <c r="CT279" s="9"/>
      <c r="CU279" s="9"/>
      <c r="CV279" s="9"/>
      <c r="CW279" s="9"/>
      <c r="CX279" s="9"/>
      <c r="CY279" s="9"/>
      <c r="CZ279" s="9"/>
      <c r="DA279" s="9"/>
      <c r="DB279" s="9"/>
      <c r="DC279" s="9"/>
      <c r="DD279" s="9"/>
      <c r="DE279" s="9"/>
      <c r="DF279" s="9"/>
      <c r="DG279" s="9"/>
      <c r="DH279" s="9"/>
      <c r="DI279" s="9"/>
      <c r="DJ279" s="9"/>
      <c r="DK279" s="9"/>
      <c r="DL279" s="9"/>
      <c r="DM279" s="9"/>
      <c r="DN279" s="9"/>
      <c r="DO279" s="9"/>
      <c r="DP279" s="9"/>
      <c r="DQ279" s="9"/>
      <c r="DR279" s="9"/>
      <c r="DS279" s="9"/>
      <c r="DT279" s="9"/>
      <c r="DU279" s="9"/>
      <c r="DV279" s="9"/>
      <c r="DW279" s="9"/>
      <c r="DX279" s="9"/>
      <c r="DY279" s="9"/>
      <c r="DZ279" s="9"/>
      <c r="EA279" s="9"/>
      <c r="EB279" s="9"/>
      <c r="EC279" s="9"/>
      <c r="ED279" s="9"/>
      <c r="EE279" s="9"/>
      <c r="EF279" s="9"/>
      <c r="EG279" s="9"/>
      <c r="EH279" s="9"/>
      <c r="EI279" s="9"/>
      <c r="EJ279" s="9"/>
      <c r="EK279" s="9"/>
      <c r="EL279" s="9"/>
      <c r="EM279" s="9"/>
      <c r="EN279" s="9"/>
      <c r="EO279" s="9"/>
      <c r="EP279" s="9"/>
      <c r="EQ279" s="9"/>
      <c r="ER279" s="9"/>
      <c r="ES279" s="9"/>
      <c r="ET279" s="9"/>
      <c r="EU279" s="9"/>
      <c r="EV279" s="9"/>
      <c r="EW279" s="9"/>
      <c r="EX279" s="9"/>
      <c r="EY279" s="9"/>
      <c r="EZ279" s="9"/>
      <c r="FA279" s="9"/>
      <c r="FB279" s="9"/>
      <c r="FC279" s="9"/>
      <c r="FD279" s="9"/>
      <c r="FE279" s="9"/>
      <c r="FF279" s="9"/>
      <c r="FG279" s="9"/>
      <c r="FH279" s="9"/>
      <c r="FI279" s="9"/>
    </row>
    <row r="280" spans="1:165" x14ac:dyDescent="0.2">
      <c r="A280" s="1" t="s">
        <v>1345</v>
      </c>
      <c r="B280" s="1" t="s">
        <v>1346</v>
      </c>
      <c r="C280" s="1" t="s">
        <v>848</v>
      </c>
      <c r="D280" s="1" t="str">
        <f>HYPERLINK("http://eros.fiehnlab.ucdavis.edu:8080/binbase-compound/bin/show/203735?db=rtx5","203735")</f>
        <v>203735</v>
      </c>
      <c r="E280" s="1" t="s">
        <v>1347</v>
      </c>
      <c r="F280" s="1" t="s">
        <v>184</v>
      </c>
      <c r="G280" s="1" t="s">
        <v>184</v>
      </c>
      <c r="H280" s="1"/>
      <c r="I280" s="8">
        <v>936</v>
      </c>
      <c r="J280" s="8">
        <v>1289</v>
      </c>
      <c r="K280" s="8">
        <v>1004</v>
      </c>
      <c r="L280" s="8">
        <v>1023</v>
      </c>
      <c r="M280" s="8">
        <v>936</v>
      </c>
      <c r="N280" s="8">
        <v>2080</v>
      </c>
      <c r="O280" s="8">
        <v>1042</v>
      </c>
      <c r="P280" s="8">
        <v>1352</v>
      </c>
      <c r="Q280" s="8">
        <v>1780</v>
      </c>
      <c r="R280" s="8">
        <v>2654</v>
      </c>
      <c r="S280" s="8">
        <v>2672</v>
      </c>
      <c r="T280" s="8">
        <v>2570</v>
      </c>
      <c r="U280" s="8">
        <v>1321</v>
      </c>
      <c r="V280" s="8">
        <v>916</v>
      </c>
      <c r="W280" s="8">
        <v>2159</v>
      </c>
      <c r="X280" s="8">
        <v>1008</v>
      </c>
      <c r="Y280" s="8">
        <v>1492</v>
      </c>
      <c r="Z280" s="8">
        <v>2411</v>
      </c>
      <c r="AA280" s="8">
        <v>885</v>
      </c>
      <c r="AB280" s="8">
        <v>1179</v>
      </c>
      <c r="AC280" s="8">
        <v>1015</v>
      </c>
      <c r="AD280" s="8">
        <v>1337</v>
      </c>
      <c r="AE280" s="8">
        <v>2859</v>
      </c>
      <c r="AF280" s="8">
        <v>1947</v>
      </c>
      <c r="AG280" s="8">
        <v>1110</v>
      </c>
      <c r="AH280" s="8">
        <v>897</v>
      </c>
      <c r="AI280" s="8">
        <v>1170</v>
      </c>
      <c r="AJ280" s="8">
        <v>3469</v>
      </c>
      <c r="AK280" s="8">
        <v>2164</v>
      </c>
      <c r="AL280" s="8">
        <v>986</v>
      </c>
      <c r="AM280" s="8">
        <v>1042</v>
      </c>
      <c r="AN280" s="8">
        <v>936</v>
      </c>
      <c r="AO280" s="8">
        <v>1093</v>
      </c>
      <c r="AP280" s="8">
        <v>1161</v>
      </c>
      <c r="AQ280" s="8">
        <v>2330</v>
      </c>
      <c r="AR280" s="8">
        <v>1984</v>
      </c>
      <c r="AS280" s="8">
        <v>1079</v>
      </c>
      <c r="AT280" s="8">
        <v>1011</v>
      </c>
      <c r="AU280" s="8">
        <v>1260</v>
      </c>
      <c r="AV280" s="8">
        <v>1132</v>
      </c>
      <c r="AW280" s="8">
        <v>1237</v>
      </c>
      <c r="AX280" s="8">
        <v>2264</v>
      </c>
      <c r="AY280" s="8">
        <v>1194</v>
      </c>
      <c r="AZ280" s="8">
        <v>3041</v>
      </c>
      <c r="BA280" s="8">
        <v>955</v>
      </c>
      <c r="BB280" s="8">
        <v>3279</v>
      </c>
      <c r="BC280" s="8">
        <v>2953</v>
      </c>
      <c r="BD280" s="8">
        <v>2038</v>
      </c>
      <c r="BE280" s="8">
        <v>1124</v>
      </c>
      <c r="BF280" s="8">
        <v>865</v>
      </c>
      <c r="BG280" s="8">
        <v>1746</v>
      </c>
      <c r="BH280" s="8">
        <v>1606</v>
      </c>
      <c r="BI280" s="8">
        <v>2459</v>
      </c>
      <c r="BJ280" s="8">
        <v>1016</v>
      </c>
      <c r="BK280" s="8">
        <v>1197</v>
      </c>
      <c r="BL280" s="8">
        <v>1033</v>
      </c>
      <c r="BM280" s="8">
        <v>1291</v>
      </c>
      <c r="BN280" s="8">
        <v>529</v>
      </c>
      <c r="BO280" s="8">
        <v>2709</v>
      </c>
      <c r="BP280" s="8">
        <v>2618</v>
      </c>
      <c r="BQ280" s="8">
        <v>966</v>
      </c>
      <c r="BR280" s="8">
        <v>1021</v>
      </c>
      <c r="BS280" s="8">
        <v>957</v>
      </c>
      <c r="BT280" s="8">
        <v>1979</v>
      </c>
      <c r="BU280" s="8">
        <v>1876</v>
      </c>
      <c r="BV280" s="8">
        <v>982</v>
      </c>
      <c r="BW280" s="8">
        <v>1145</v>
      </c>
      <c r="BX280" s="8">
        <v>1082</v>
      </c>
      <c r="BY280" s="8">
        <v>1108</v>
      </c>
      <c r="BZ280" s="8">
        <v>3315</v>
      </c>
      <c r="CA280" s="8">
        <v>2317</v>
      </c>
      <c r="CB280" s="8">
        <v>2716</v>
      </c>
      <c r="CC280" s="8">
        <v>815</v>
      </c>
      <c r="CD280" s="8">
        <v>651</v>
      </c>
      <c r="CE280" s="8">
        <v>702</v>
      </c>
      <c r="CF280" s="8">
        <v>932</v>
      </c>
      <c r="CG280" s="8">
        <v>2264</v>
      </c>
      <c r="CH280" s="8">
        <v>909</v>
      </c>
      <c r="CJ280" s="9"/>
      <c r="CK280" s="9"/>
      <c r="CL280" s="9"/>
      <c r="CM280" s="9"/>
      <c r="CN280" s="9"/>
      <c r="CO280" s="9"/>
      <c r="CP280" s="9"/>
      <c r="CQ280" s="9"/>
      <c r="CR280" s="9"/>
      <c r="CS280" s="9"/>
      <c r="CT280" s="9"/>
      <c r="CU280" s="9"/>
      <c r="CV280" s="9"/>
      <c r="CW280" s="9"/>
      <c r="CX280" s="9"/>
      <c r="CY280" s="9"/>
      <c r="CZ280" s="9"/>
      <c r="DA280" s="9"/>
      <c r="DB280" s="9"/>
      <c r="DC280" s="9"/>
      <c r="DD280" s="9"/>
      <c r="DE280" s="9"/>
      <c r="DF280" s="9"/>
      <c r="DG280" s="9"/>
      <c r="DH280" s="9"/>
      <c r="DI280" s="9"/>
      <c r="DJ280" s="9"/>
      <c r="DK280" s="9"/>
      <c r="DL280" s="9"/>
      <c r="DM280" s="9"/>
      <c r="DN280" s="9"/>
      <c r="DO280" s="9"/>
      <c r="DP280" s="9"/>
      <c r="DQ280" s="9"/>
      <c r="DR280" s="9"/>
      <c r="DS280" s="9"/>
      <c r="DT280" s="9"/>
      <c r="DU280" s="9"/>
      <c r="DV280" s="9"/>
      <c r="DW280" s="9"/>
      <c r="DX280" s="9"/>
      <c r="DY280" s="9"/>
      <c r="DZ280" s="9"/>
      <c r="EA280" s="9"/>
      <c r="EB280" s="9"/>
      <c r="EC280" s="9"/>
      <c r="ED280" s="9"/>
      <c r="EE280" s="9"/>
      <c r="EF280" s="9"/>
      <c r="EG280" s="9"/>
      <c r="EH280" s="9"/>
      <c r="EI280" s="9"/>
      <c r="EJ280" s="9"/>
      <c r="EK280" s="9"/>
      <c r="EL280" s="9"/>
      <c r="EM280" s="9"/>
      <c r="EN280" s="9"/>
      <c r="EO280" s="9"/>
      <c r="EP280" s="9"/>
      <c r="EQ280" s="9"/>
      <c r="ER280" s="9"/>
      <c r="ES280" s="9"/>
      <c r="ET280" s="9"/>
      <c r="EU280" s="9"/>
      <c r="EV280" s="9"/>
      <c r="EW280" s="9"/>
      <c r="EX280" s="9"/>
      <c r="EY280" s="9"/>
      <c r="EZ280" s="9"/>
      <c r="FA280" s="9"/>
      <c r="FB280" s="9"/>
      <c r="FC280" s="9"/>
      <c r="FD280" s="9"/>
      <c r="FE280" s="9"/>
      <c r="FF280" s="9"/>
      <c r="FG280" s="9"/>
      <c r="FH280" s="9"/>
      <c r="FI280" s="9"/>
    </row>
    <row r="281" spans="1:165" x14ac:dyDescent="0.2">
      <c r="A281" s="1" t="s">
        <v>1222</v>
      </c>
      <c r="B281" s="1" t="s">
        <v>1223</v>
      </c>
      <c r="C281" s="1" t="s">
        <v>1224</v>
      </c>
      <c r="D281" s="1" t="str">
        <f>HYPERLINK("http://eros.fiehnlab.ucdavis.edu:8080/binbase-compound/bin/show/222151?db=rtx5","222151")</f>
        <v>222151</v>
      </c>
      <c r="E281" s="1" t="s">
        <v>1225</v>
      </c>
      <c r="F281" s="1" t="s">
        <v>184</v>
      </c>
      <c r="G281" s="1" t="s">
        <v>184</v>
      </c>
      <c r="H281" s="1"/>
      <c r="I281" s="8">
        <v>673</v>
      </c>
      <c r="J281" s="8">
        <v>626</v>
      </c>
      <c r="K281" s="8">
        <v>784</v>
      </c>
      <c r="L281" s="8">
        <v>617</v>
      </c>
      <c r="M281" s="8">
        <v>795</v>
      </c>
      <c r="N281" s="8">
        <v>795</v>
      </c>
      <c r="O281" s="8">
        <v>330</v>
      </c>
      <c r="P281" s="8">
        <v>766</v>
      </c>
      <c r="Q281" s="8">
        <v>740</v>
      </c>
      <c r="R281" s="8">
        <v>999</v>
      </c>
      <c r="S281" s="8">
        <v>907</v>
      </c>
      <c r="T281" s="8">
        <v>567</v>
      </c>
      <c r="U281" s="8">
        <v>641</v>
      </c>
      <c r="V281" s="8">
        <v>658</v>
      </c>
      <c r="W281" s="8">
        <v>621</v>
      </c>
      <c r="X281" s="8">
        <v>700</v>
      </c>
      <c r="Y281" s="8">
        <v>645</v>
      </c>
      <c r="Z281" s="8">
        <v>786</v>
      </c>
      <c r="AA281" s="8">
        <v>416</v>
      </c>
      <c r="AB281" s="8">
        <v>556</v>
      </c>
      <c r="AC281" s="8">
        <v>746</v>
      </c>
      <c r="AD281" s="8">
        <v>656</v>
      </c>
      <c r="AE281" s="8">
        <v>510</v>
      </c>
      <c r="AF281" s="8">
        <v>546</v>
      </c>
      <c r="AG281" s="8">
        <v>577</v>
      </c>
      <c r="AH281" s="8">
        <v>569</v>
      </c>
      <c r="AI281" s="8">
        <v>637</v>
      </c>
      <c r="AJ281" s="8">
        <v>423</v>
      </c>
      <c r="AK281" s="8">
        <v>594</v>
      </c>
      <c r="AL281" s="8">
        <v>910</v>
      </c>
      <c r="AM281" s="8">
        <v>782</v>
      </c>
      <c r="AN281" s="8">
        <v>240</v>
      </c>
      <c r="AO281" s="8">
        <v>705</v>
      </c>
      <c r="AP281" s="8">
        <v>907</v>
      </c>
      <c r="AQ281" s="8">
        <v>845</v>
      </c>
      <c r="AR281" s="8">
        <v>758</v>
      </c>
      <c r="AS281" s="8">
        <v>777</v>
      </c>
      <c r="AT281" s="8">
        <v>845</v>
      </c>
      <c r="AU281" s="8">
        <v>535</v>
      </c>
      <c r="AV281" s="8">
        <v>552</v>
      </c>
      <c r="AW281" s="8">
        <v>800</v>
      </c>
      <c r="AX281" s="8">
        <v>615</v>
      </c>
      <c r="AY281" s="8">
        <v>817</v>
      </c>
      <c r="AZ281" s="8">
        <v>598</v>
      </c>
      <c r="BA281" s="8">
        <v>260</v>
      </c>
      <c r="BB281" s="8">
        <v>709</v>
      </c>
      <c r="BC281" s="8">
        <v>1245</v>
      </c>
      <c r="BD281" s="8">
        <v>1070</v>
      </c>
      <c r="BE281" s="8">
        <v>627</v>
      </c>
      <c r="BF281" s="8">
        <v>578</v>
      </c>
      <c r="BG281" s="8">
        <v>515</v>
      </c>
      <c r="BH281" s="8">
        <v>348</v>
      </c>
      <c r="BI281" s="8">
        <v>597</v>
      </c>
      <c r="BJ281" s="8">
        <v>665</v>
      </c>
      <c r="BK281" s="8">
        <v>791</v>
      </c>
      <c r="BL281" s="8">
        <v>612</v>
      </c>
      <c r="BM281" s="8">
        <v>330</v>
      </c>
      <c r="BN281" s="8">
        <v>585</v>
      </c>
      <c r="BO281" s="8">
        <v>806</v>
      </c>
      <c r="BP281" s="8">
        <v>831</v>
      </c>
      <c r="BQ281" s="8">
        <v>682</v>
      </c>
      <c r="BR281" s="8">
        <v>725</v>
      </c>
      <c r="BS281" s="8">
        <v>551</v>
      </c>
      <c r="BT281" s="8">
        <v>510</v>
      </c>
      <c r="BU281" s="8">
        <v>732</v>
      </c>
      <c r="BV281" s="8">
        <v>768</v>
      </c>
      <c r="BW281" s="8">
        <v>568</v>
      </c>
      <c r="BX281" s="8">
        <v>761</v>
      </c>
      <c r="BY281" s="8">
        <v>525</v>
      </c>
      <c r="BZ281" s="8">
        <v>740</v>
      </c>
      <c r="CA281" s="8">
        <v>760</v>
      </c>
      <c r="CB281" s="8">
        <v>591</v>
      </c>
      <c r="CC281" s="8">
        <v>571</v>
      </c>
      <c r="CD281" s="8">
        <v>455</v>
      </c>
      <c r="CE281" s="8">
        <v>713</v>
      </c>
      <c r="CF281" s="8">
        <v>606</v>
      </c>
      <c r="CG281" s="8">
        <v>586</v>
      </c>
      <c r="CH281" s="8">
        <v>612</v>
      </c>
      <c r="CJ281" s="9"/>
      <c r="CK281" s="9"/>
      <c r="CL281" s="9"/>
      <c r="CM281" s="9"/>
      <c r="CN281" s="9"/>
      <c r="CO281" s="9"/>
      <c r="CP281" s="9"/>
      <c r="CQ281" s="9"/>
      <c r="CR281" s="9"/>
      <c r="CS281" s="9"/>
      <c r="CT281" s="9"/>
      <c r="CU281" s="9"/>
      <c r="CV281" s="9"/>
      <c r="CW281" s="9"/>
      <c r="CX281" s="9"/>
      <c r="CY281" s="9"/>
      <c r="CZ281" s="9"/>
      <c r="DA281" s="9"/>
      <c r="DB281" s="9"/>
      <c r="DC281" s="9"/>
      <c r="DD281" s="9"/>
      <c r="DE281" s="9"/>
      <c r="DF281" s="9"/>
      <c r="DG281" s="9"/>
      <c r="DH281" s="9"/>
      <c r="DI281" s="9"/>
      <c r="DJ281" s="9"/>
      <c r="DK281" s="9"/>
      <c r="DL281" s="9"/>
      <c r="DM281" s="9"/>
      <c r="DN281" s="9"/>
      <c r="DO281" s="9"/>
      <c r="DP281" s="9"/>
      <c r="DQ281" s="9"/>
      <c r="DR281" s="9"/>
      <c r="DS281" s="9"/>
      <c r="DT281" s="9"/>
      <c r="DU281" s="9"/>
      <c r="DV281" s="9"/>
      <c r="DW281" s="9"/>
      <c r="DX281" s="9"/>
      <c r="DY281" s="9"/>
      <c r="DZ281" s="9"/>
      <c r="EA281" s="9"/>
      <c r="EB281" s="9"/>
      <c r="EC281" s="9"/>
      <c r="ED281" s="9"/>
      <c r="EE281" s="9"/>
      <c r="EF281" s="9"/>
      <c r="EG281" s="9"/>
      <c r="EH281" s="9"/>
      <c r="EI281" s="9"/>
      <c r="EJ281" s="9"/>
      <c r="EK281" s="9"/>
      <c r="EL281" s="9"/>
      <c r="EM281" s="9"/>
      <c r="EN281" s="9"/>
      <c r="EO281" s="9"/>
      <c r="EP281" s="9"/>
      <c r="EQ281" s="9"/>
      <c r="ER281" s="9"/>
      <c r="ES281" s="9"/>
      <c r="ET281" s="9"/>
      <c r="EU281" s="9"/>
      <c r="EV281" s="9"/>
      <c r="EW281" s="9"/>
      <c r="EX281" s="9"/>
      <c r="EY281" s="9"/>
      <c r="EZ281" s="9"/>
      <c r="FA281" s="9"/>
      <c r="FB281" s="9"/>
      <c r="FC281" s="9"/>
      <c r="FD281" s="9"/>
      <c r="FE281" s="9"/>
      <c r="FF281" s="9"/>
      <c r="FG281" s="9"/>
      <c r="FH281" s="9"/>
      <c r="FI281" s="9"/>
    </row>
    <row r="282" spans="1:165" x14ac:dyDescent="0.2">
      <c r="A282" s="1" t="s">
        <v>1226</v>
      </c>
      <c r="B282" s="1" t="s">
        <v>1227</v>
      </c>
      <c r="C282" s="1" t="s">
        <v>848</v>
      </c>
      <c r="D282" s="1" t="str">
        <f>HYPERLINK("http://eros.fiehnlab.ucdavis.edu:8080/binbase-compound/bin/show/222115?db=rtx5","222115")</f>
        <v>222115</v>
      </c>
      <c r="E282" s="1" t="s">
        <v>1228</v>
      </c>
      <c r="F282" s="1" t="s">
        <v>184</v>
      </c>
      <c r="G282" s="1" t="s">
        <v>184</v>
      </c>
      <c r="H282" s="1"/>
      <c r="I282" s="8">
        <v>2243</v>
      </c>
      <c r="J282" s="8">
        <v>1425</v>
      </c>
      <c r="K282" s="8">
        <v>1308</v>
      </c>
      <c r="L282" s="8">
        <v>1365</v>
      </c>
      <c r="M282" s="8">
        <v>3157</v>
      </c>
      <c r="N282" s="8">
        <v>970</v>
      </c>
      <c r="O282" s="8">
        <v>1195</v>
      </c>
      <c r="P282" s="8">
        <v>872</v>
      </c>
      <c r="Q282" s="8">
        <v>1653</v>
      </c>
      <c r="R282" s="8">
        <v>2773</v>
      </c>
      <c r="S282" s="8">
        <v>4455</v>
      </c>
      <c r="T282" s="8">
        <v>1802</v>
      </c>
      <c r="U282" s="8">
        <v>1189</v>
      </c>
      <c r="V282" s="8">
        <v>1581</v>
      </c>
      <c r="W282" s="8">
        <v>5166</v>
      </c>
      <c r="X282" s="8">
        <v>6765</v>
      </c>
      <c r="Y282" s="8">
        <v>4003</v>
      </c>
      <c r="Z282" s="8">
        <v>2276</v>
      </c>
      <c r="AA282" s="8">
        <v>803</v>
      </c>
      <c r="AB282" s="8">
        <v>1490</v>
      </c>
      <c r="AC282" s="8">
        <v>1537</v>
      </c>
      <c r="AD282" s="8">
        <v>1463</v>
      </c>
      <c r="AE282" s="8">
        <v>7899</v>
      </c>
      <c r="AF282" s="8">
        <v>3582</v>
      </c>
      <c r="AG282" s="8">
        <v>1291</v>
      </c>
      <c r="AH282" s="8">
        <v>1427</v>
      </c>
      <c r="AI282" s="8">
        <v>1383</v>
      </c>
      <c r="AJ282" s="8">
        <v>7891</v>
      </c>
      <c r="AK282" s="8">
        <v>4069</v>
      </c>
      <c r="AL282" s="8">
        <v>3380</v>
      </c>
      <c r="AM282" s="8">
        <v>2318</v>
      </c>
      <c r="AN282" s="8">
        <v>1624</v>
      </c>
      <c r="AO282" s="8">
        <v>1788</v>
      </c>
      <c r="AP282" s="8">
        <v>9474</v>
      </c>
      <c r="AQ282" s="8">
        <v>244</v>
      </c>
      <c r="AR282" s="8">
        <v>2206</v>
      </c>
      <c r="AS282" s="8">
        <v>1503</v>
      </c>
      <c r="AT282" s="8">
        <v>3119</v>
      </c>
      <c r="AU282" s="8">
        <v>1343</v>
      </c>
      <c r="AV282" s="8">
        <v>1022</v>
      </c>
      <c r="AW282" s="8">
        <v>8593</v>
      </c>
      <c r="AX282" s="8">
        <v>2038</v>
      </c>
      <c r="AY282" s="8">
        <v>1344</v>
      </c>
      <c r="AZ282" s="8">
        <v>5772</v>
      </c>
      <c r="BA282" s="8">
        <v>4199</v>
      </c>
      <c r="BB282" s="8">
        <v>3466</v>
      </c>
      <c r="BC282" s="8">
        <v>7230</v>
      </c>
      <c r="BD282" s="8">
        <v>4272</v>
      </c>
      <c r="BE282" s="8">
        <v>1526</v>
      </c>
      <c r="BF282" s="8">
        <v>1417</v>
      </c>
      <c r="BG282" s="8">
        <v>748</v>
      </c>
      <c r="BH282" s="8">
        <v>1226</v>
      </c>
      <c r="BI282" s="8">
        <v>2336</v>
      </c>
      <c r="BJ282" s="8">
        <v>2539</v>
      </c>
      <c r="BK282" s="8">
        <v>1159</v>
      </c>
      <c r="BL282" s="8">
        <v>1621</v>
      </c>
      <c r="BM282" s="8">
        <v>2016</v>
      </c>
      <c r="BN282" s="8">
        <v>4287</v>
      </c>
      <c r="BO282" s="8">
        <v>5820</v>
      </c>
      <c r="BP282" s="8">
        <v>6860</v>
      </c>
      <c r="BQ282" s="8">
        <v>1657</v>
      </c>
      <c r="BR282" s="8">
        <v>1502</v>
      </c>
      <c r="BS282" s="8">
        <v>1347</v>
      </c>
      <c r="BT282" s="8">
        <v>2825</v>
      </c>
      <c r="BU282" s="8">
        <v>4664</v>
      </c>
      <c r="BV282" s="8">
        <v>2362</v>
      </c>
      <c r="BW282" s="8">
        <v>2320</v>
      </c>
      <c r="BX282" s="8">
        <v>1485</v>
      </c>
      <c r="BY282" s="8">
        <v>1259</v>
      </c>
      <c r="BZ282" s="8">
        <v>7392</v>
      </c>
      <c r="CA282" s="8">
        <v>6327</v>
      </c>
      <c r="CB282" s="8">
        <v>2104</v>
      </c>
      <c r="CC282" s="8">
        <v>2245</v>
      </c>
      <c r="CD282" s="8">
        <v>1075</v>
      </c>
      <c r="CE282" s="8">
        <v>1008</v>
      </c>
      <c r="CF282" s="8">
        <v>1304</v>
      </c>
      <c r="CG282" s="8">
        <v>4948</v>
      </c>
      <c r="CH282" s="8">
        <v>3758</v>
      </c>
      <c r="CJ282" s="9"/>
      <c r="CK282" s="9"/>
      <c r="CL282" s="9"/>
      <c r="CM282" s="9"/>
      <c r="CN282" s="9"/>
      <c r="CO282" s="9"/>
      <c r="CP282" s="9"/>
      <c r="CQ282" s="9"/>
      <c r="CR282" s="9"/>
      <c r="CS282" s="9"/>
      <c r="CT282" s="9"/>
      <c r="CU282" s="9"/>
      <c r="CV282" s="9"/>
      <c r="CW282" s="9"/>
      <c r="CX282" s="9"/>
      <c r="CY282" s="9"/>
      <c r="CZ282" s="9"/>
      <c r="DA282" s="9"/>
      <c r="DB282" s="9"/>
      <c r="DC282" s="9"/>
      <c r="DD282" s="9"/>
      <c r="DE282" s="9"/>
      <c r="DF282" s="9"/>
      <c r="DG282" s="9"/>
      <c r="DH282" s="9"/>
      <c r="DI282" s="9"/>
      <c r="DJ282" s="9"/>
      <c r="DK282" s="9"/>
      <c r="DL282" s="9"/>
      <c r="DM282" s="9"/>
      <c r="DN282" s="9"/>
      <c r="DO282" s="9"/>
      <c r="DP282" s="9"/>
      <c r="DQ282" s="9"/>
      <c r="DR282" s="9"/>
      <c r="DS282" s="9"/>
      <c r="DT282" s="9"/>
      <c r="DU282" s="9"/>
      <c r="DV282" s="9"/>
      <c r="DW282" s="9"/>
      <c r="DX282" s="9"/>
      <c r="DY282" s="9"/>
      <c r="DZ282" s="9"/>
      <c r="EA282" s="9"/>
      <c r="EB282" s="9"/>
      <c r="EC282" s="9"/>
      <c r="ED282" s="9"/>
      <c r="EE282" s="9"/>
      <c r="EF282" s="9"/>
      <c r="EG282" s="9"/>
      <c r="EH282" s="9"/>
      <c r="EI282" s="9"/>
      <c r="EJ282" s="9"/>
      <c r="EK282" s="9"/>
      <c r="EL282" s="9"/>
      <c r="EM282" s="9"/>
      <c r="EN282" s="9"/>
      <c r="EO282" s="9"/>
      <c r="EP282" s="9"/>
      <c r="EQ282" s="9"/>
      <c r="ER282" s="9"/>
      <c r="ES282" s="9"/>
      <c r="ET282" s="9"/>
      <c r="EU282" s="9"/>
      <c r="EV282" s="9"/>
      <c r="EW282" s="9"/>
      <c r="EX282" s="9"/>
      <c r="EY282" s="9"/>
      <c r="EZ282" s="9"/>
      <c r="FA282" s="9"/>
      <c r="FB282" s="9"/>
      <c r="FC282" s="9"/>
      <c r="FD282" s="9"/>
      <c r="FE282" s="9"/>
      <c r="FF282" s="9"/>
      <c r="FG282" s="9"/>
      <c r="FH282" s="9"/>
      <c r="FI282" s="9"/>
    </row>
    <row r="283" spans="1:165" x14ac:dyDescent="0.2">
      <c r="A283" s="1" t="s">
        <v>885</v>
      </c>
      <c r="B283" s="1" t="s">
        <v>886</v>
      </c>
      <c r="C283" s="1" t="s">
        <v>743</v>
      </c>
      <c r="D283" s="1" t="str">
        <f>HYPERLINK("http://eros.fiehnlab.ucdavis.edu:8080/binbase-compound/bin/show/301616?db=rtx5","301616")</f>
        <v>301616</v>
      </c>
      <c r="E283" s="1" t="s">
        <v>887</v>
      </c>
      <c r="F283" s="1" t="s">
        <v>184</v>
      </c>
      <c r="G283" s="1" t="s">
        <v>184</v>
      </c>
      <c r="H283" s="1"/>
      <c r="I283" s="8">
        <v>3361</v>
      </c>
      <c r="J283" s="8">
        <v>3329</v>
      </c>
      <c r="K283" s="8">
        <v>1670</v>
      </c>
      <c r="L283" s="8">
        <v>1690</v>
      </c>
      <c r="M283" s="8">
        <v>1088</v>
      </c>
      <c r="N283" s="8">
        <v>1087</v>
      </c>
      <c r="O283" s="8">
        <v>1767</v>
      </c>
      <c r="P283" s="8">
        <v>2293</v>
      </c>
      <c r="Q283" s="8">
        <v>1231</v>
      </c>
      <c r="R283" s="8">
        <v>1255</v>
      </c>
      <c r="S283" s="8">
        <v>1133</v>
      </c>
      <c r="T283" s="8">
        <v>1128</v>
      </c>
      <c r="U283" s="8">
        <v>2637</v>
      </c>
      <c r="V283" s="8">
        <v>2254</v>
      </c>
      <c r="W283" s="8">
        <v>2733</v>
      </c>
      <c r="X283" s="8">
        <v>1307</v>
      </c>
      <c r="Y283" s="8">
        <v>1314</v>
      </c>
      <c r="Z283" s="8">
        <v>970</v>
      </c>
      <c r="AA283" s="8">
        <v>1083</v>
      </c>
      <c r="AB283" s="8">
        <v>2893</v>
      </c>
      <c r="AC283" s="8">
        <v>1589</v>
      </c>
      <c r="AD283" s="8">
        <v>1521</v>
      </c>
      <c r="AE283" s="8">
        <v>1829</v>
      </c>
      <c r="AF283" s="8">
        <v>1366</v>
      </c>
      <c r="AG283" s="8">
        <v>1978</v>
      </c>
      <c r="AH283" s="8">
        <v>2479</v>
      </c>
      <c r="AI283" s="8">
        <v>1502</v>
      </c>
      <c r="AJ283" s="8">
        <v>3222</v>
      </c>
      <c r="AK283" s="8">
        <v>805</v>
      </c>
      <c r="AL283" s="8">
        <v>721</v>
      </c>
      <c r="AM283" s="8">
        <v>3471</v>
      </c>
      <c r="AN283" s="8">
        <v>1920</v>
      </c>
      <c r="AO283" s="8">
        <v>2107</v>
      </c>
      <c r="AP283" s="8">
        <v>2872</v>
      </c>
      <c r="AQ283" s="8">
        <v>1484</v>
      </c>
      <c r="AR283" s="8">
        <v>613</v>
      </c>
      <c r="AS283" s="8">
        <v>1831</v>
      </c>
      <c r="AT283" s="8">
        <v>1725</v>
      </c>
      <c r="AU283" s="8">
        <v>2166</v>
      </c>
      <c r="AV283" s="8">
        <v>2333</v>
      </c>
      <c r="AW283" s="8">
        <v>2035</v>
      </c>
      <c r="AX283" s="8">
        <v>963</v>
      </c>
      <c r="AY283" s="8">
        <v>2206</v>
      </c>
      <c r="AZ283" s="8">
        <v>2229</v>
      </c>
      <c r="BA283" s="8">
        <v>1567</v>
      </c>
      <c r="BB283" s="8">
        <v>2412</v>
      </c>
      <c r="BC283" s="8">
        <v>1521</v>
      </c>
      <c r="BD283" s="8">
        <v>357</v>
      </c>
      <c r="BE283" s="8">
        <v>2075</v>
      </c>
      <c r="BF283" s="8">
        <v>1645</v>
      </c>
      <c r="BG283" s="8">
        <v>1999</v>
      </c>
      <c r="BH283" s="8">
        <v>1744</v>
      </c>
      <c r="BI283" s="8">
        <v>1435</v>
      </c>
      <c r="BJ283" s="8">
        <v>992</v>
      </c>
      <c r="BK283" s="8">
        <v>2540</v>
      </c>
      <c r="BL283" s="8">
        <v>3272</v>
      </c>
      <c r="BM283" s="8">
        <v>2668</v>
      </c>
      <c r="BN283" s="8">
        <v>576</v>
      </c>
      <c r="BO283" s="8">
        <v>2993</v>
      </c>
      <c r="BP283" s="8">
        <v>2642</v>
      </c>
      <c r="BQ283" s="8">
        <v>2716</v>
      </c>
      <c r="BR283" s="8">
        <v>3003</v>
      </c>
      <c r="BS283" s="8">
        <v>3048</v>
      </c>
      <c r="BT283" s="8">
        <v>612</v>
      </c>
      <c r="BU283" s="8">
        <v>455</v>
      </c>
      <c r="BV283" s="8">
        <v>1122</v>
      </c>
      <c r="BW283" s="8">
        <v>359</v>
      </c>
      <c r="BX283" s="8">
        <v>1598</v>
      </c>
      <c r="BY283" s="8">
        <v>519</v>
      </c>
      <c r="BZ283" s="8">
        <v>3130</v>
      </c>
      <c r="CA283" s="8">
        <v>1577</v>
      </c>
      <c r="CB283" s="8">
        <v>859</v>
      </c>
      <c r="CC283" s="8">
        <v>1933</v>
      </c>
      <c r="CD283" s="8">
        <v>1427</v>
      </c>
      <c r="CE283" s="8">
        <v>1636</v>
      </c>
      <c r="CF283" s="8">
        <v>245</v>
      </c>
      <c r="CG283" s="8">
        <v>2436</v>
      </c>
      <c r="CH283" s="8">
        <v>1019</v>
      </c>
      <c r="CJ283" s="9"/>
      <c r="CK283" s="9"/>
      <c r="CL283" s="9"/>
      <c r="CM283" s="9"/>
      <c r="CN283" s="9"/>
      <c r="CO283" s="9"/>
      <c r="CP283" s="9"/>
      <c r="CQ283" s="9"/>
      <c r="CR283" s="9"/>
      <c r="CS283" s="9"/>
      <c r="CT283" s="9"/>
      <c r="CU283" s="9"/>
      <c r="CV283" s="9"/>
      <c r="CW283" s="9"/>
      <c r="CX283" s="9"/>
      <c r="CY283" s="9"/>
      <c r="CZ283" s="9"/>
      <c r="DA283" s="9"/>
      <c r="DB283" s="9"/>
      <c r="DC283" s="9"/>
      <c r="DD283" s="9"/>
      <c r="DE283" s="9"/>
      <c r="DF283" s="9"/>
      <c r="DG283" s="9"/>
      <c r="DH283" s="9"/>
      <c r="DI283" s="9"/>
      <c r="DJ283" s="9"/>
      <c r="DK283" s="9"/>
      <c r="DL283" s="9"/>
      <c r="DM283" s="9"/>
      <c r="DN283" s="9"/>
      <c r="DO283" s="9"/>
      <c r="DP283" s="9"/>
      <c r="DQ283" s="9"/>
      <c r="DR283" s="9"/>
      <c r="DS283" s="9"/>
      <c r="DT283" s="9"/>
      <c r="DU283" s="9"/>
      <c r="DV283" s="9"/>
      <c r="DW283" s="9"/>
      <c r="DX283" s="9"/>
      <c r="DY283" s="9"/>
      <c r="DZ283" s="9"/>
      <c r="EA283" s="9"/>
      <c r="EB283" s="9"/>
      <c r="EC283" s="9"/>
      <c r="ED283" s="9"/>
      <c r="EE283" s="9"/>
      <c r="EF283" s="9"/>
      <c r="EG283" s="9"/>
      <c r="EH283" s="9"/>
      <c r="EI283" s="9"/>
      <c r="EJ283" s="9"/>
      <c r="EK283" s="9"/>
      <c r="EL283" s="9"/>
      <c r="EM283" s="9"/>
      <c r="EN283" s="9"/>
      <c r="EO283" s="9"/>
      <c r="EP283" s="9"/>
      <c r="EQ283" s="9"/>
      <c r="ER283" s="9"/>
      <c r="ES283" s="9"/>
      <c r="ET283" s="9"/>
      <c r="EU283" s="9"/>
      <c r="EV283" s="9"/>
      <c r="EW283" s="9"/>
      <c r="EX283" s="9"/>
      <c r="EY283" s="9"/>
      <c r="EZ283" s="9"/>
      <c r="FA283" s="9"/>
      <c r="FB283" s="9"/>
      <c r="FC283" s="9"/>
      <c r="FD283" s="9"/>
      <c r="FE283" s="9"/>
      <c r="FF283" s="9"/>
      <c r="FG283" s="9"/>
      <c r="FH283" s="9"/>
      <c r="FI283" s="9"/>
    </row>
    <row r="284" spans="1:165" x14ac:dyDescent="0.2">
      <c r="A284" s="1" t="s">
        <v>1269</v>
      </c>
      <c r="B284" s="1" t="s">
        <v>1270</v>
      </c>
      <c r="C284" s="1" t="s">
        <v>294</v>
      </c>
      <c r="D284" s="1" t="str">
        <f>HYPERLINK("http://eros.fiehnlab.ucdavis.edu:8080/binbase-compound/bin/show/214682?db=rtx5","214682")</f>
        <v>214682</v>
      </c>
      <c r="E284" s="1" t="s">
        <v>1271</v>
      </c>
      <c r="F284" s="1" t="s">
        <v>184</v>
      </c>
      <c r="G284" s="1" t="s">
        <v>184</v>
      </c>
      <c r="H284" s="1"/>
      <c r="I284" s="8">
        <v>636</v>
      </c>
      <c r="J284" s="8">
        <v>893</v>
      </c>
      <c r="K284" s="8">
        <v>1054</v>
      </c>
      <c r="L284" s="8">
        <v>1881</v>
      </c>
      <c r="M284" s="8">
        <v>742</v>
      </c>
      <c r="N284" s="8">
        <v>1259</v>
      </c>
      <c r="O284" s="8">
        <v>1711</v>
      </c>
      <c r="P284" s="8">
        <v>1953</v>
      </c>
      <c r="Q284" s="8">
        <v>1134</v>
      </c>
      <c r="R284" s="8">
        <v>1443</v>
      </c>
      <c r="S284" s="8">
        <v>1973</v>
      </c>
      <c r="T284" s="8">
        <v>2301</v>
      </c>
      <c r="U284" s="8">
        <v>2125</v>
      </c>
      <c r="V284" s="8">
        <v>1191</v>
      </c>
      <c r="W284" s="8">
        <v>556</v>
      </c>
      <c r="X284" s="8">
        <v>1121</v>
      </c>
      <c r="Y284" s="8">
        <v>1114</v>
      </c>
      <c r="Z284" s="8">
        <v>780</v>
      </c>
      <c r="AA284" s="8">
        <v>411</v>
      </c>
      <c r="AB284" s="8">
        <v>1582</v>
      </c>
      <c r="AC284" s="8">
        <v>1008</v>
      </c>
      <c r="AD284" s="8">
        <v>1638</v>
      </c>
      <c r="AE284" s="8">
        <v>527</v>
      </c>
      <c r="AF284" s="8">
        <v>1059</v>
      </c>
      <c r="AG284" s="8">
        <v>1149</v>
      </c>
      <c r="AH284" s="8">
        <v>1285</v>
      </c>
      <c r="AI284" s="8">
        <v>1833</v>
      </c>
      <c r="AJ284" s="8">
        <v>648</v>
      </c>
      <c r="AK284" s="8">
        <v>1066</v>
      </c>
      <c r="AL284" s="8">
        <v>1647</v>
      </c>
      <c r="AM284" s="8">
        <v>1390</v>
      </c>
      <c r="AN284" s="8">
        <v>1902</v>
      </c>
      <c r="AO284" s="8">
        <v>2760</v>
      </c>
      <c r="AP284" s="8">
        <v>1285</v>
      </c>
      <c r="AQ284" s="8">
        <v>2495</v>
      </c>
      <c r="AR284" s="8">
        <v>2300</v>
      </c>
      <c r="AS284" s="8">
        <v>1610</v>
      </c>
      <c r="AT284" s="8">
        <v>1223</v>
      </c>
      <c r="AU284" s="8">
        <v>2294</v>
      </c>
      <c r="AV284" s="8">
        <v>2130</v>
      </c>
      <c r="AW284" s="8">
        <v>771</v>
      </c>
      <c r="AX284" s="8">
        <v>1525</v>
      </c>
      <c r="AY284" s="8">
        <v>2289</v>
      </c>
      <c r="AZ284" s="8">
        <v>871</v>
      </c>
      <c r="BA284" s="8">
        <v>1352</v>
      </c>
      <c r="BB284" s="8">
        <v>2546</v>
      </c>
      <c r="BC284" s="8">
        <v>2501</v>
      </c>
      <c r="BD284" s="8">
        <v>1790</v>
      </c>
      <c r="BE284" s="8">
        <v>1430</v>
      </c>
      <c r="BF284" s="8">
        <v>1512</v>
      </c>
      <c r="BG284" s="8">
        <v>1896</v>
      </c>
      <c r="BH284" s="8">
        <v>1745</v>
      </c>
      <c r="BI284" s="8">
        <v>2020</v>
      </c>
      <c r="BJ284" s="8">
        <v>2376</v>
      </c>
      <c r="BK284" s="8">
        <v>2088</v>
      </c>
      <c r="BL284" s="8">
        <v>3506</v>
      </c>
      <c r="BM284" s="8">
        <v>2508</v>
      </c>
      <c r="BN284" s="8">
        <v>707</v>
      </c>
      <c r="BO284" s="8">
        <v>1178</v>
      </c>
      <c r="BP284" s="8">
        <v>1009</v>
      </c>
      <c r="BQ284" s="8">
        <v>719</v>
      </c>
      <c r="BR284" s="8">
        <v>1630</v>
      </c>
      <c r="BS284" s="8">
        <v>1309</v>
      </c>
      <c r="BT284" s="8">
        <v>1588</v>
      </c>
      <c r="BU284" s="8">
        <v>1790</v>
      </c>
      <c r="BV284" s="8">
        <v>2040</v>
      </c>
      <c r="BW284" s="8">
        <v>659</v>
      </c>
      <c r="BX284" s="8">
        <v>1335</v>
      </c>
      <c r="BY284" s="8">
        <v>1805</v>
      </c>
      <c r="BZ284" s="8">
        <v>542</v>
      </c>
      <c r="CA284" s="8">
        <v>731</v>
      </c>
      <c r="CB284" s="8">
        <v>1235</v>
      </c>
      <c r="CC284" s="8">
        <v>1429</v>
      </c>
      <c r="CD284" s="8">
        <v>1358</v>
      </c>
      <c r="CE284" s="8">
        <v>1831</v>
      </c>
      <c r="CF284" s="8">
        <v>2455</v>
      </c>
      <c r="CG284" s="8">
        <v>994</v>
      </c>
      <c r="CH284" s="8">
        <v>1270</v>
      </c>
      <c r="CJ284" s="9"/>
      <c r="CK284" s="9"/>
      <c r="CL284" s="9"/>
      <c r="CM284" s="9"/>
      <c r="CN284" s="9"/>
      <c r="CO284" s="9"/>
      <c r="CP284" s="9"/>
      <c r="CQ284" s="9"/>
      <c r="CR284" s="9"/>
      <c r="CS284" s="9"/>
      <c r="CT284" s="9"/>
      <c r="CU284" s="9"/>
      <c r="CV284" s="9"/>
      <c r="CW284" s="9"/>
      <c r="CX284" s="9"/>
      <c r="CY284" s="9"/>
      <c r="CZ284" s="9"/>
      <c r="DA284" s="9"/>
      <c r="DB284" s="9"/>
      <c r="DC284" s="9"/>
      <c r="DD284" s="9"/>
      <c r="DE284" s="9"/>
      <c r="DF284" s="9"/>
      <c r="DG284" s="9"/>
      <c r="DH284" s="9"/>
      <c r="DI284" s="9"/>
      <c r="DJ284" s="9"/>
      <c r="DK284" s="9"/>
      <c r="DL284" s="9"/>
      <c r="DM284" s="9"/>
      <c r="DN284" s="9"/>
      <c r="DO284" s="9"/>
      <c r="DP284" s="9"/>
      <c r="DQ284" s="9"/>
      <c r="DR284" s="9"/>
      <c r="DS284" s="9"/>
      <c r="DT284" s="9"/>
      <c r="DU284" s="9"/>
      <c r="DV284" s="9"/>
      <c r="DW284" s="9"/>
      <c r="DX284" s="9"/>
      <c r="DY284" s="9"/>
      <c r="DZ284" s="9"/>
      <c r="EA284" s="9"/>
      <c r="EB284" s="9"/>
      <c r="EC284" s="9"/>
      <c r="ED284" s="9"/>
      <c r="EE284" s="9"/>
      <c r="EF284" s="9"/>
      <c r="EG284" s="9"/>
      <c r="EH284" s="9"/>
      <c r="EI284" s="9"/>
      <c r="EJ284" s="9"/>
      <c r="EK284" s="9"/>
      <c r="EL284" s="9"/>
      <c r="EM284" s="9"/>
      <c r="EN284" s="9"/>
      <c r="EO284" s="9"/>
      <c r="EP284" s="9"/>
      <c r="EQ284" s="9"/>
      <c r="ER284" s="9"/>
      <c r="ES284" s="9"/>
      <c r="ET284" s="9"/>
      <c r="EU284" s="9"/>
      <c r="EV284" s="9"/>
      <c r="EW284" s="9"/>
      <c r="EX284" s="9"/>
      <c r="EY284" s="9"/>
      <c r="EZ284" s="9"/>
      <c r="FA284" s="9"/>
      <c r="FB284" s="9"/>
      <c r="FC284" s="9"/>
      <c r="FD284" s="9"/>
      <c r="FE284" s="9"/>
      <c r="FF284" s="9"/>
      <c r="FG284" s="9"/>
      <c r="FH284" s="9"/>
      <c r="FI284" s="9"/>
    </row>
    <row r="285" spans="1:165" x14ac:dyDescent="0.2">
      <c r="A285" s="1" t="s">
        <v>951</v>
      </c>
      <c r="B285" s="1" t="s">
        <v>952</v>
      </c>
      <c r="C285" s="1" t="s">
        <v>294</v>
      </c>
      <c r="D285" s="1" t="str">
        <f>HYPERLINK("http://eros.fiehnlab.ucdavis.edu:8080/binbase-compound/bin/show/285035?db=rtx5","285035")</f>
        <v>285035</v>
      </c>
      <c r="E285" s="1" t="s">
        <v>953</v>
      </c>
      <c r="F285" s="1" t="s">
        <v>184</v>
      </c>
      <c r="G285" s="1" t="s">
        <v>184</v>
      </c>
      <c r="H285" s="1"/>
      <c r="I285" s="8">
        <v>239</v>
      </c>
      <c r="J285" s="8">
        <v>218</v>
      </c>
      <c r="K285" s="8">
        <v>250</v>
      </c>
      <c r="L285" s="8">
        <v>146</v>
      </c>
      <c r="M285" s="8">
        <v>233</v>
      </c>
      <c r="N285" s="8">
        <v>302</v>
      </c>
      <c r="O285" s="8">
        <v>525</v>
      </c>
      <c r="P285" s="8">
        <v>710</v>
      </c>
      <c r="Q285" s="8">
        <v>733</v>
      </c>
      <c r="R285" s="8">
        <v>711</v>
      </c>
      <c r="S285" s="8">
        <v>621</v>
      </c>
      <c r="T285" s="8">
        <v>486</v>
      </c>
      <c r="U285" s="8">
        <v>584</v>
      </c>
      <c r="V285" s="8">
        <v>508</v>
      </c>
      <c r="W285" s="8">
        <v>485</v>
      </c>
      <c r="X285" s="8">
        <v>735</v>
      </c>
      <c r="Y285" s="8">
        <v>419</v>
      </c>
      <c r="Z285" s="8">
        <v>196</v>
      </c>
      <c r="AA285" s="8">
        <v>180</v>
      </c>
      <c r="AB285" s="8">
        <v>240</v>
      </c>
      <c r="AC285" s="8">
        <v>305</v>
      </c>
      <c r="AD285" s="8">
        <v>210</v>
      </c>
      <c r="AE285" s="8">
        <v>214</v>
      </c>
      <c r="AF285" s="8">
        <v>232</v>
      </c>
      <c r="AG285" s="8">
        <v>1178</v>
      </c>
      <c r="AH285" s="8">
        <v>803</v>
      </c>
      <c r="AI285" s="8">
        <v>1062</v>
      </c>
      <c r="AJ285" s="8">
        <v>1454</v>
      </c>
      <c r="AK285" s="8">
        <v>480</v>
      </c>
      <c r="AL285" s="8">
        <v>686</v>
      </c>
      <c r="AM285" s="8">
        <v>1121</v>
      </c>
      <c r="AN285" s="8">
        <v>1068</v>
      </c>
      <c r="AO285" s="8">
        <v>801</v>
      </c>
      <c r="AP285" s="8">
        <v>913</v>
      </c>
      <c r="AQ285" s="8">
        <v>1076</v>
      </c>
      <c r="AR285" s="8">
        <v>637</v>
      </c>
      <c r="AS285" s="8">
        <v>713</v>
      </c>
      <c r="AT285" s="8">
        <v>612</v>
      </c>
      <c r="AU285" s="8">
        <v>659</v>
      </c>
      <c r="AV285" s="8">
        <v>506</v>
      </c>
      <c r="AW285" s="8">
        <v>782</v>
      </c>
      <c r="AX285" s="8">
        <v>666</v>
      </c>
      <c r="AY285" s="8">
        <v>354</v>
      </c>
      <c r="AZ285" s="8">
        <v>444</v>
      </c>
      <c r="BA285" s="8">
        <v>354</v>
      </c>
      <c r="BB285" s="8">
        <v>427</v>
      </c>
      <c r="BC285" s="8">
        <v>515</v>
      </c>
      <c r="BD285" s="8">
        <v>268</v>
      </c>
      <c r="BE285" s="8">
        <v>1168</v>
      </c>
      <c r="BF285" s="8">
        <v>748</v>
      </c>
      <c r="BG285" s="8">
        <v>1156</v>
      </c>
      <c r="BH285" s="8">
        <v>866</v>
      </c>
      <c r="BI285" s="8">
        <v>831</v>
      </c>
      <c r="BJ285" s="8">
        <v>1173</v>
      </c>
      <c r="BK285" s="8">
        <v>1087</v>
      </c>
      <c r="BL285" s="8">
        <v>790</v>
      </c>
      <c r="BM285" s="8">
        <v>596</v>
      </c>
      <c r="BN285" s="8">
        <v>791</v>
      </c>
      <c r="BO285" s="8">
        <v>869</v>
      </c>
      <c r="BP285" s="8">
        <v>488</v>
      </c>
      <c r="BQ285" s="8">
        <v>380</v>
      </c>
      <c r="BR285" s="8">
        <v>685</v>
      </c>
      <c r="BS285" s="8">
        <v>668</v>
      </c>
      <c r="BT285" s="8">
        <v>753</v>
      </c>
      <c r="BU285" s="8">
        <v>474</v>
      </c>
      <c r="BV285" s="8">
        <v>587</v>
      </c>
      <c r="BW285" s="8">
        <v>240</v>
      </c>
      <c r="BX285" s="8">
        <v>250</v>
      </c>
      <c r="BY285" s="8">
        <v>294</v>
      </c>
      <c r="BZ285" s="8">
        <v>266</v>
      </c>
      <c r="CA285" s="8">
        <v>243</v>
      </c>
      <c r="CB285" s="8">
        <v>195</v>
      </c>
      <c r="CC285" s="8">
        <v>1071</v>
      </c>
      <c r="CD285" s="8">
        <v>963</v>
      </c>
      <c r="CE285" s="8">
        <v>939</v>
      </c>
      <c r="CF285" s="8">
        <v>847</v>
      </c>
      <c r="CG285" s="8">
        <v>880</v>
      </c>
      <c r="CH285" s="8">
        <v>1075</v>
      </c>
      <c r="CJ285" s="9"/>
      <c r="CK285" s="9"/>
      <c r="CL285" s="9"/>
      <c r="CM285" s="9"/>
      <c r="CN285" s="9"/>
      <c r="CO285" s="9"/>
      <c r="CP285" s="9"/>
      <c r="CQ285" s="9"/>
      <c r="CR285" s="9"/>
      <c r="CS285" s="9"/>
      <c r="CT285" s="9"/>
      <c r="CU285" s="9"/>
      <c r="CV285" s="9"/>
      <c r="CW285" s="9"/>
      <c r="CX285" s="9"/>
      <c r="CY285" s="9"/>
      <c r="CZ285" s="9"/>
      <c r="DA285" s="9"/>
      <c r="DB285" s="9"/>
      <c r="DC285" s="9"/>
      <c r="DD285" s="9"/>
      <c r="DE285" s="9"/>
      <c r="DF285" s="9"/>
      <c r="DG285" s="9"/>
      <c r="DH285" s="9"/>
      <c r="DI285" s="9"/>
      <c r="DJ285" s="9"/>
      <c r="DK285" s="9"/>
      <c r="DL285" s="9"/>
      <c r="DM285" s="9"/>
      <c r="DN285" s="9"/>
      <c r="DO285" s="9"/>
      <c r="DP285" s="9"/>
      <c r="DQ285" s="9"/>
      <c r="DR285" s="9"/>
      <c r="DS285" s="9"/>
      <c r="DT285" s="9"/>
      <c r="DU285" s="9"/>
      <c r="DV285" s="9"/>
      <c r="DW285" s="9"/>
      <c r="DX285" s="9"/>
      <c r="DY285" s="9"/>
      <c r="DZ285" s="9"/>
      <c r="EA285" s="9"/>
      <c r="EB285" s="9"/>
      <c r="EC285" s="9"/>
      <c r="ED285" s="9"/>
      <c r="EE285" s="9"/>
      <c r="EF285" s="9"/>
      <c r="EG285" s="9"/>
      <c r="EH285" s="9"/>
      <c r="EI285" s="9"/>
      <c r="EJ285" s="9"/>
      <c r="EK285" s="9"/>
      <c r="EL285" s="9"/>
      <c r="EM285" s="9"/>
      <c r="EN285" s="9"/>
      <c r="EO285" s="9"/>
      <c r="EP285" s="9"/>
      <c r="EQ285" s="9"/>
      <c r="ER285" s="9"/>
      <c r="ES285" s="9"/>
      <c r="ET285" s="9"/>
      <c r="EU285" s="9"/>
      <c r="EV285" s="9"/>
      <c r="EW285" s="9"/>
      <c r="EX285" s="9"/>
      <c r="EY285" s="9"/>
      <c r="EZ285" s="9"/>
      <c r="FA285" s="9"/>
      <c r="FB285" s="9"/>
      <c r="FC285" s="9"/>
      <c r="FD285" s="9"/>
      <c r="FE285" s="9"/>
      <c r="FF285" s="9"/>
      <c r="FG285" s="9"/>
      <c r="FH285" s="9"/>
      <c r="FI285" s="9"/>
    </row>
    <row r="286" spans="1:165" x14ac:dyDescent="0.2">
      <c r="A286" s="1" t="s">
        <v>1153</v>
      </c>
      <c r="B286" s="1" t="s">
        <v>1154</v>
      </c>
      <c r="C286" s="1" t="s">
        <v>1155</v>
      </c>
      <c r="D286" s="1" t="str">
        <f>HYPERLINK("http://eros.fiehnlab.ucdavis.edu:8080/binbase-compound/bin/show/227816?db=rtx5","227816")</f>
        <v>227816</v>
      </c>
      <c r="E286" s="1" t="s">
        <v>1156</v>
      </c>
      <c r="F286" s="1" t="s">
        <v>184</v>
      </c>
      <c r="G286" s="1" t="s">
        <v>184</v>
      </c>
      <c r="H286" s="1"/>
      <c r="I286" s="8">
        <v>171</v>
      </c>
      <c r="J286" s="8">
        <v>185</v>
      </c>
      <c r="K286" s="8">
        <v>222</v>
      </c>
      <c r="L286" s="8">
        <v>173</v>
      </c>
      <c r="M286" s="8">
        <v>234</v>
      </c>
      <c r="N286" s="8">
        <v>225</v>
      </c>
      <c r="O286" s="8">
        <v>158</v>
      </c>
      <c r="P286" s="8">
        <v>227</v>
      </c>
      <c r="Q286" s="8">
        <v>197</v>
      </c>
      <c r="R286" s="8">
        <v>218</v>
      </c>
      <c r="S286" s="8">
        <v>206</v>
      </c>
      <c r="T286" s="8">
        <v>217</v>
      </c>
      <c r="U286" s="8">
        <v>267</v>
      </c>
      <c r="V286" s="8">
        <v>162</v>
      </c>
      <c r="W286" s="8">
        <v>148</v>
      </c>
      <c r="X286" s="8">
        <v>219</v>
      </c>
      <c r="Y286" s="8">
        <v>113</v>
      </c>
      <c r="Z286" s="8">
        <v>171</v>
      </c>
      <c r="AA286" s="8">
        <v>104</v>
      </c>
      <c r="AB286" s="8">
        <v>163</v>
      </c>
      <c r="AC286" s="8">
        <v>145</v>
      </c>
      <c r="AD286" s="8">
        <v>130</v>
      </c>
      <c r="AE286" s="8">
        <v>148</v>
      </c>
      <c r="AF286" s="8">
        <v>65</v>
      </c>
      <c r="AG286" s="8">
        <v>229</v>
      </c>
      <c r="AH286" s="8">
        <v>161</v>
      </c>
      <c r="AI286" s="8">
        <v>265</v>
      </c>
      <c r="AJ286" s="8">
        <v>200</v>
      </c>
      <c r="AK286" s="8">
        <v>143</v>
      </c>
      <c r="AL286" s="8">
        <v>295</v>
      </c>
      <c r="AM286" s="8">
        <v>186</v>
      </c>
      <c r="AN286" s="8">
        <v>216</v>
      </c>
      <c r="AO286" s="8">
        <v>226</v>
      </c>
      <c r="AP286" s="8">
        <v>174</v>
      </c>
      <c r="AQ286" s="8">
        <v>190</v>
      </c>
      <c r="AR286" s="8">
        <v>218</v>
      </c>
      <c r="AS286" s="8">
        <v>155</v>
      </c>
      <c r="AT286" s="8">
        <v>175</v>
      </c>
      <c r="AU286" s="8">
        <v>260</v>
      </c>
      <c r="AV286" s="8">
        <v>230</v>
      </c>
      <c r="AW286" s="8">
        <v>34</v>
      </c>
      <c r="AX286" s="8">
        <v>234</v>
      </c>
      <c r="AY286" s="8">
        <v>234</v>
      </c>
      <c r="AZ286" s="8">
        <v>167</v>
      </c>
      <c r="BA286" s="8">
        <v>139</v>
      </c>
      <c r="BB286" s="8">
        <v>169</v>
      </c>
      <c r="BC286" s="8">
        <v>161</v>
      </c>
      <c r="BD286" s="8">
        <v>201</v>
      </c>
      <c r="BE286" s="8">
        <v>215</v>
      </c>
      <c r="BF286" s="8">
        <v>211</v>
      </c>
      <c r="BG286" s="8">
        <v>277</v>
      </c>
      <c r="BH286" s="8">
        <v>134</v>
      </c>
      <c r="BI286" s="8">
        <v>218</v>
      </c>
      <c r="BJ286" s="8">
        <v>229</v>
      </c>
      <c r="BK286" s="8">
        <v>217</v>
      </c>
      <c r="BL286" s="8">
        <v>220</v>
      </c>
      <c r="BM286" s="8">
        <v>255</v>
      </c>
      <c r="BN286" s="8">
        <v>131</v>
      </c>
      <c r="BO286" s="8">
        <v>165</v>
      </c>
      <c r="BP286" s="8">
        <v>148</v>
      </c>
      <c r="BQ286" s="8">
        <v>162</v>
      </c>
      <c r="BR286" s="8">
        <v>205</v>
      </c>
      <c r="BS286" s="8">
        <v>161</v>
      </c>
      <c r="BT286" s="8">
        <v>178</v>
      </c>
      <c r="BU286" s="8">
        <v>183</v>
      </c>
      <c r="BV286" s="8">
        <v>156</v>
      </c>
      <c r="BW286" s="8">
        <v>137</v>
      </c>
      <c r="BX286" s="8">
        <v>182</v>
      </c>
      <c r="BY286" s="8">
        <v>169</v>
      </c>
      <c r="BZ286" s="8">
        <v>119</v>
      </c>
      <c r="CA286" s="8">
        <v>151</v>
      </c>
      <c r="CB286" s="8">
        <v>113</v>
      </c>
      <c r="CC286" s="8">
        <v>127</v>
      </c>
      <c r="CD286" s="8">
        <v>149</v>
      </c>
      <c r="CE286" s="8">
        <v>145</v>
      </c>
      <c r="CF286" s="8">
        <v>179</v>
      </c>
      <c r="CG286" s="8">
        <v>199</v>
      </c>
      <c r="CH286" s="8">
        <v>175</v>
      </c>
      <c r="CJ286" s="9"/>
      <c r="CK286" s="9"/>
      <c r="CL286" s="9"/>
      <c r="CM286" s="9"/>
      <c r="CN286" s="9"/>
      <c r="CO286" s="9"/>
      <c r="CP286" s="9"/>
      <c r="CQ286" s="9"/>
      <c r="CR286" s="9"/>
      <c r="CS286" s="9"/>
      <c r="CT286" s="9"/>
      <c r="CU286" s="9"/>
      <c r="CV286" s="9"/>
      <c r="CW286" s="9"/>
      <c r="CX286" s="9"/>
      <c r="CY286" s="9"/>
      <c r="CZ286" s="9"/>
      <c r="DA286" s="9"/>
      <c r="DB286" s="9"/>
      <c r="DC286" s="9"/>
      <c r="DD286" s="9"/>
      <c r="DE286" s="9"/>
      <c r="DF286" s="9"/>
      <c r="DG286" s="9"/>
      <c r="DH286" s="9"/>
      <c r="DI286" s="9"/>
      <c r="DJ286" s="9"/>
      <c r="DK286" s="9"/>
      <c r="DL286" s="9"/>
      <c r="DM286" s="9"/>
      <c r="DN286" s="9"/>
      <c r="DO286" s="9"/>
      <c r="DP286" s="9"/>
      <c r="DQ286" s="9"/>
      <c r="DR286" s="9"/>
      <c r="DS286" s="9"/>
      <c r="DT286" s="9"/>
      <c r="DU286" s="9"/>
      <c r="DV286" s="9"/>
      <c r="DW286" s="9"/>
      <c r="DX286" s="9"/>
      <c r="DY286" s="9"/>
      <c r="DZ286" s="9"/>
      <c r="EA286" s="9"/>
      <c r="EB286" s="9"/>
      <c r="EC286" s="9"/>
      <c r="ED286" s="9"/>
      <c r="EE286" s="9"/>
      <c r="EF286" s="9"/>
      <c r="EG286" s="9"/>
      <c r="EH286" s="9"/>
      <c r="EI286" s="9"/>
      <c r="EJ286" s="9"/>
      <c r="EK286" s="9"/>
      <c r="EL286" s="9"/>
      <c r="EM286" s="9"/>
      <c r="EN286" s="9"/>
      <c r="EO286" s="9"/>
      <c r="EP286" s="9"/>
      <c r="EQ286" s="9"/>
      <c r="ER286" s="9"/>
      <c r="ES286" s="9"/>
      <c r="ET286" s="9"/>
      <c r="EU286" s="9"/>
      <c r="EV286" s="9"/>
      <c r="EW286" s="9"/>
      <c r="EX286" s="9"/>
      <c r="EY286" s="9"/>
      <c r="EZ286" s="9"/>
      <c r="FA286" s="9"/>
      <c r="FB286" s="9"/>
      <c r="FC286" s="9"/>
      <c r="FD286" s="9"/>
      <c r="FE286" s="9"/>
      <c r="FF286" s="9"/>
      <c r="FG286" s="9"/>
      <c r="FH286" s="9"/>
      <c r="FI286" s="9"/>
    </row>
    <row r="287" spans="1:165" x14ac:dyDescent="0.2">
      <c r="A287" s="1" t="s">
        <v>748</v>
      </c>
      <c r="B287" s="1" t="s">
        <v>749</v>
      </c>
      <c r="C287" s="1" t="s">
        <v>620</v>
      </c>
      <c r="D287" s="1" t="str">
        <f>HYPERLINK("http://eros.fiehnlab.ucdavis.edu:8080/binbase-compound/bin/show/367991?db=rtx5","367991")</f>
        <v>367991</v>
      </c>
      <c r="E287" s="1" t="s">
        <v>750</v>
      </c>
      <c r="F287" s="1" t="s">
        <v>184</v>
      </c>
      <c r="G287" s="1" t="s">
        <v>184</v>
      </c>
      <c r="H287" s="1"/>
      <c r="I287" s="8">
        <v>550</v>
      </c>
      <c r="J287" s="8">
        <v>460</v>
      </c>
      <c r="K287" s="8">
        <v>582</v>
      </c>
      <c r="L287" s="8">
        <v>513</v>
      </c>
      <c r="M287" s="8">
        <v>565</v>
      </c>
      <c r="N287" s="8">
        <v>591</v>
      </c>
      <c r="O287" s="8">
        <v>723</v>
      </c>
      <c r="P287" s="8">
        <v>754</v>
      </c>
      <c r="Q287" s="8">
        <v>728</v>
      </c>
      <c r="R287" s="8">
        <v>1003</v>
      </c>
      <c r="S287" s="8">
        <v>973</v>
      </c>
      <c r="T287" s="8">
        <v>806</v>
      </c>
      <c r="U287" s="8">
        <v>853</v>
      </c>
      <c r="V287" s="8">
        <v>762</v>
      </c>
      <c r="W287" s="8">
        <v>658</v>
      </c>
      <c r="X287" s="8">
        <v>767</v>
      </c>
      <c r="Y287" s="8">
        <v>711</v>
      </c>
      <c r="Z287" s="8">
        <v>766</v>
      </c>
      <c r="AA287" s="8">
        <v>524</v>
      </c>
      <c r="AB287" s="8">
        <v>728</v>
      </c>
      <c r="AC287" s="8">
        <v>585</v>
      </c>
      <c r="AD287" s="8">
        <v>686</v>
      </c>
      <c r="AE287" s="8">
        <v>774</v>
      </c>
      <c r="AF287" s="8">
        <v>730</v>
      </c>
      <c r="AG287" s="8">
        <v>662</v>
      </c>
      <c r="AH287" s="8">
        <v>885</v>
      </c>
      <c r="AI287" s="8">
        <v>442</v>
      </c>
      <c r="AJ287" s="8">
        <v>801</v>
      </c>
      <c r="AK287" s="8">
        <v>721</v>
      </c>
      <c r="AL287" s="8">
        <v>856</v>
      </c>
      <c r="AM287" s="8">
        <v>1129</v>
      </c>
      <c r="AN287" s="8">
        <v>958</v>
      </c>
      <c r="AO287" s="8">
        <v>971</v>
      </c>
      <c r="AP287" s="8">
        <v>916</v>
      </c>
      <c r="AQ287" s="8">
        <v>868</v>
      </c>
      <c r="AR287" s="8">
        <v>861</v>
      </c>
      <c r="AS287" s="8">
        <v>878</v>
      </c>
      <c r="AT287" s="8">
        <v>1038</v>
      </c>
      <c r="AU287" s="8">
        <v>840</v>
      </c>
      <c r="AV287" s="8">
        <v>958</v>
      </c>
      <c r="AW287" s="8">
        <v>973</v>
      </c>
      <c r="AX287" s="8">
        <v>896</v>
      </c>
      <c r="AY287" s="8">
        <v>900</v>
      </c>
      <c r="AZ287" s="8">
        <v>1093</v>
      </c>
      <c r="BA287" s="8">
        <v>823</v>
      </c>
      <c r="BB287" s="8">
        <v>841</v>
      </c>
      <c r="BC287" s="8">
        <v>978</v>
      </c>
      <c r="BD287" s="8">
        <v>823</v>
      </c>
      <c r="BE287" s="8">
        <v>777</v>
      </c>
      <c r="BF287" s="8">
        <v>659</v>
      </c>
      <c r="BG287" s="8">
        <v>801</v>
      </c>
      <c r="BH287" s="8">
        <v>532</v>
      </c>
      <c r="BI287" s="8">
        <v>779</v>
      </c>
      <c r="BJ287" s="8">
        <v>751</v>
      </c>
      <c r="BK287" s="8">
        <v>978</v>
      </c>
      <c r="BL287" s="8">
        <v>822</v>
      </c>
      <c r="BM287" s="8">
        <v>823</v>
      </c>
      <c r="BN287" s="8">
        <v>757</v>
      </c>
      <c r="BO287" s="8">
        <v>988</v>
      </c>
      <c r="BP287" s="8">
        <v>926</v>
      </c>
      <c r="BQ287" s="8">
        <v>842</v>
      </c>
      <c r="BR287" s="8">
        <v>838</v>
      </c>
      <c r="BS287" s="8">
        <v>803</v>
      </c>
      <c r="BT287" s="8">
        <v>787</v>
      </c>
      <c r="BU287" s="8">
        <v>867</v>
      </c>
      <c r="BV287" s="8">
        <v>856</v>
      </c>
      <c r="BW287" s="8">
        <v>872</v>
      </c>
      <c r="BX287" s="8">
        <v>609</v>
      </c>
      <c r="BY287" s="8">
        <v>838</v>
      </c>
      <c r="BZ287" s="8">
        <v>704</v>
      </c>
      <c r="CA287" s="8">
        <v>803</v>
      </c>
      <c r="CB287" s="8">
        <v>677</v>
      </c>
      <c r="CC287" s="8">
        <v>704</v>
      </c>
      <c r="CD287" s="8">
        <v>655</v>
      </c>
      <c r="CE287" s="8">
        <v>694</v>
      </c>
      <c r="CF287" s="8">
        <v>603</v>
      </c>
      <c r="CG287" s="8">
        <v>708</v>
      </c>
      <c r="CH287" s="8">
        <v>829</v>
      </c>
      <c r="CJ287" s="9"/>
      <c r="CK287" s="9"/>
      <c r="CL287" s="9"/>
      <c r="CM287" s="9"/>
      <c r="CN287" s="9"/>
      <c r="CO287" s="9"/>
      <c r="CP287" s="9"/>
      <c r="CQ287" s="9"/>
      <c r="CR287" s="9"/>
      <c r="CS287" s="9"/>
      <c r="CT287" s="9"/>
      <c r="CU287" s="9"/>
      <c r="CV287" s="9"/>
      <c r="CW287" s="9"/>
      <c r="CX287" s="9"/>
      <c r="CY287" s="9"/>
      <c r="CZ287" s="9"/>
      <c r="DA287" s="9"/>
      <c r="DB287" s="9"/>
      <c r="DC287" s="9"/>
      <c r="DD287" s="9"/>
      <c r="DE287" s="9"/>
      <c r="DF287" s="9"/>
      <c r="DG287" s="9"/>
      <c r="DH287" s="9"/>
      <c r="DI287" s="9"/>
      <c r="DJ287" s="9"/>
      <c r="DK287" s="9"/>
      <c r="DL287" s="9"/>
      <c r="DM287" s="9"/>
      <c r="DN287" s="9"/>
      <c r="DO287" s="9"/>
      <c r="DP287" s="9"/>
      <c r="DQ287" s="9"/>
      <c r="DR287" s="9"/>
      <c r="DS287" s="9"/>
      <c r="DT287" s="9"/>
      <c r="DU287" s="9"/>
      <c r="DV287" s="9"/>
      <c r="DW287" s="9"/>
      <c r="DX287" s="9"/>
      <c r="DY287" s="9"/>
      <c r="DZ287" s="9"/>
      <c r="EA287" s="9"/>
      <c r="EB287" s="9"/>
      <c r="EC287" s="9"/>
      <c r="ED287" s="9"/>
      <c r="EE287" s="9"/>
      <c r="EF287" s="9"/>
      <c r="EG287" s="9"/>
      <c r="EH287" s="9"/>
      <c r="EI287" s="9"/>
      <c r="EJ287" s="9"/>
      <c r="EK287" s="9"/>
      <c r="EL287" s="9"/>
      <c r="EM287" s="9"/>
      <c r="EN287" s="9"/>
      <c r="EO287" s="9"/>
      <c r="EP287" s="9"/>
      <c r="EQ287" s="9"/>
      <c r="ER287" s="9"/>
      <c r="ES287" s="9"/>
      <c r="ET287" s="9"/>
      <c r="EU287" s="9"/>
      <c r="EV287" s="9"/>
      <c r="EW287" s="9"/>
      <c r="EX287" s="9"/>
      <c r="EY287" s="9"/>
      <c r="EZ287" s="9"/>
      <c r="FA287" s="9"/>
      <c r="FB287" s="9"/>
      <c r="FC287" s="9"/>
      <c r="FD287" s="9"/>
      <c r="FE287" s="9"/>
      <c r="FF287" s="9"/>
      <c r="FG287" s="9"/>
      <c r="FH287" s="9"/>
      <c r="FI287" s="9"/>
    </row>
    <row r="288" spans="1:165" x14ac:dyDescent="0.2">
      <c r="A288" s="1" t="s">
        <v>1129</v>
      </c>
      <c r="B288" s="1" t="s">
        <v>1130</v>
      </c>
      <c r="C288" s="1" t="s">
        <v>435</v>
      </c>
      <c r="D288" s="1" t="str">
        <f>HYPERLINK("http://eros.fiehnlab.ucdavis.edu:8080/binbase-compound/bin/show/228618?db=rtx5","228618")</f>
        <v>228618</v>
      </c>
      <c r="E288" s="1" t="s">
        <v>1131</v>
      </c>
      <c r="F288" s="1" t="s">
        <v>184</v>
      </c>
      <c r="G288" s="1" t="s">
        <v>184</v>
      </c>
      <c r="H288" s="1"/>
      <c r="I288" s="8">
        <v>548</v>
      </c>
      <c r="J288" s="8">
        <v>568</v>
      </c>
      <c r="K288" s="8">
        <v>515</v>
      </c>
      <c r="L288" s="8">
        <v>451</v>
      </c>
      <c r="M288" s="8">
        <v>546</v>
      </c>
      <c r="N288" s="8">
        <v>749</v>
      </c>
      <c r="O288" s="8">
        <v>523</v>
      </c>
      <c r="P288" s="8">
        <v>604</v>
      </c>
      <c r="Q288" s="8">
        <v>454</v>
      </c>
      <c r="R288" s="8">
        <v>553</v>
      </c>
      <c r="S288" s="8">
        <v>561</v>
      </c>
      <c r="T288" s="8">
        <v>415</v>
      </c>
      <c r="U288" s="8">
        <v>731</v>
      </c>
      <c r="V288" s="8">
        <v>625</v>
      </c>
      <c r="W288" s="8">
        <v>476</v>
      </c>
      <c r="X288" s="8">
        <v>559</v>
      </c>
      <c r="Y288" s="8">
        <v>424</v>
      </c>
      <c r="Z288" s="8">
        <v>318</v>
      </c>
      <c r="AA288" s="8">
        <v>314</v>
      </c>
      <c r="AB288" s="8">
        <v>542</v>
      </c>
      <c r="AC288" s="8">
        <v>382</v>
      </c>
      <c r="AD288" s="8">
        <v>362</v>
      </c>
      <c r="AE288" s="8">
        <v>539</v>
      </c>
      <c r="AF288" s="8">
        <v>359</v>
      </c>
      <c r="AG288" s="8">
        <v>445</v>
      </c>
      <c r="AH288" s="8">
        <v>534</v>
      </c>
      <c r="AI288" s="8">
        <v>468</v>
      </c>
      <c r="AJ288" s="8">
        <v>494</v>
      </c>
      <c r="AK288" s="8">
        <v>362</v>
      </c>
      <c r="AL288" s="8">
        <v>619</v>
      </c>
      <c r="AM288" s="8">
        <v>797</v>
      </c>
      <c r="AN288" s="8">
        <v>697</v>
      </c>
      <c r="AO288" s="8">
        <v>469</v>
      </c>
      <c r="AP288" s="8">
        <v>607</v>
      </c>
      <c r="AQ288" s="8">
        <v>495</v>
      </c>
      <c r="AR288" s="8">
        <v>433</v>
      </c>
      <c r="AS288" s="8">
        <v>494</v>
      </c>
      <c r="AT288" s="8">
        <v>612</v>
      </c>
      <c r="AU288" s="8">
        <v>546</v>
      </c>
      <c r="AV288" s="8">
        <v>404</v>
      </c>
      <c r="AW288" s="8">
        <v>674</v>
      </c>
      <c r="AX288" s="8">
        <v>452</v>
      </c>
      <c r="AY288" s="8">
        <v>459</v>
      </c>
      <c r="AZ288" s="8">
        <v>562</v>
      </c>
      <c r="BA288" s="8">
        <v>528</v>
      </c>
      <c r="BB288" s="8">
        <v>533</v>
      </c>
      <c r="BC288" s="8">
        <v>437</v>
      </c>
      <c r="BD288" s="8">
        <v>809</v>
      </c>
      <c r="BE288" s="8">
        <v>517</v>
      </c>
      <c r="BF288" s="8">
        <v>515</v>
      </c>
      <c r="BG288" s="8">
        <v>512</v>
      </c>
      <c r="BH288" s="8">
        <v>425</v>
      </c>
      <c r="BI288" s="8">
        <v>505</v>
      </c>
      <c r="BJ288" s="8">
        <v>496</v>
      </c>
      <c r="BK288" s="8">
        <v>706</v>
      </c>
      <c r="BL288" s="8">
        <v>590</v>
      </c>
      <c r="BM288" s="8">
        <v>679</v>
      </c>
      <c r="BN288" s="8">
        <v>390</v>
      </c>
      <c r="BO288" s="8">
        <v>601</v>
      </c>
      <c r="BP288" s="8">
        <v>339</v>
      </c>
      <c r="BQ288" s="8">
        <v>494</v>
      </c>
      <c r="BR288" s="8">
        <v>322</v>
      </c>
      <c r="BS288" s="8">
        <v>499</v>
      </c>
      <c r="BT288" s="8">
        <v>423</v>
      </c>
      <c r="BU288" s="8">
        <v>433</v>
      </c>
      <c r="BV288" s="8">
        <v>604</v>
      </c>
      <c r="BW288" s="8">
        <v>540</v>
      </c>
      <c r="BX288" s="8">
        <v>395</v>
      </c>
      <c r="BY288" s="8">
        <v>389</v>
      </c>
      <c r="BZ288" s="8">
        <v>631</v>
      </c>
      <c r="CA288" s="8">
        <v>473</v>
      </c>
      <c r="CB288" s="8">
        <v>400</v>
      </c>
      <c r="CC288" s="8">
        <v>555</v>
      </c>
      <c r="CD288" s="8">
        <v>460</v>
      </c>
      <c r="CE288" s="8">
        <v>555</v>
      </c>
      <c r="CF288" s="8">
        <v>287</v>
      </c>
      <c r="CG288" s="8">
        <v>529</v>
      </c>
      <c r="CH288" s="8">
        <v>533</v>
      </c>
      <c r="CJ288" s="9"/>
      <c r="CK288" s="9"/>
      <c r="CL288" s="9"/>
      <c r="CM288" s="9"/>
      <c r="CN288" s="9"/>
      <c r="CO288" s="9"/>
      <c r="CP288" s="9"/>
      <c r="CQ288" s="9"/>
      <c r="CR288" s="9"/>
      <c r="CS288" s="9"/>
      <c r="CT288" s="9"/>
      <c r="CU288" s="9"/>
      <c r="CV288" s="9"/>
      <c r="CW288" s="9"/>
      <c r="CX288" s="9"/>
      <c r="CY288" s="9"/>
      <c r="CZ288" s="9"/>
      <c r="DA288" s="9"/>
      <c r="DB288" s="9"/>
      <c r="DC288" s="9"/>
      <c r="DD288" s="9"/>
      <c r="DE288" s="9"/>
      <c r="DF288" s="9"/>
      <c r="DG288" s="9"/>
      <c r="DH288" s="9"/>
      <c r="DI288" s="9"/>
      <c r="DJ288" s="9"/>
      <c r="DK288" s="9"/>
      <c r="DL288" s="9"/>
      <c r="DM288" s="9"/>
      <c r="DN288" s="9"/>
      <c r="DO288" s="9"/>
      <c r="DP288" s="9"/>
      <c r="DQ288" s="9"/>
      <c r="DR288" s="9"/>
      <c r="DS288" s="9"/>
      <c r="DT288" s="9"/>
      <c r="DU288" s="9"/>
      <c r="DV288" s="9"/>
      <c r="DW288" s="9"/>
      <c r="DX288" s="9"/>
      <c r="DY288" s="9"/>
      <c r="DZ288" s="9"/>
      <c r="EA288" s="9"/>
      <c r="EB288" s="9"/>
      <c r="EC288" s="9"/>
      <c r="ED288" s="9"/>
      <c r="EE288" s="9"/>
      <c r="EF288" s="9"/>
      <c r="EG288" s="9"/>
      <c r="EH288" s="9"/>
      <c r="EI288" s="9"/>
      <c r="EJ288" s="9"/>
      <c r="EK288" s="9"/>
      <c r="EL288" s="9"/>
      <c r="EM288" s="9"/>
      <c r="EN288" s="9"/>
      <c r="EO288" s="9"/>
      <c r="EP288" s="9"/>
      <c r="EQ288" s="9"/>
      <c r="ER288" s="9"/>
      <c r="ES288" s="9"/>
      <c r="ET288" s="9"/>
      <c r="EU288" s="9"/>
      <c r="EV288" s="9"/>
      <c r="EW288" s="9"/>
      <c r="EX288" s="9"/>
      <c r="EY288" s="9"/>
      <c r="EZ288" s="9"/>
      <c r="FA288" s="9"/>
      <c r="FB288" s="9"/>
      <c r="FC288" s="9"/>
      <c r="FD288" s="9"/>
      <c r="FE288" s="9"/>
      <c r="FF288" s="9"/>
      <c r="FG288" s="9"/>
      <c r="FH288" s="9"/>
      <c r="FI288" s="9"/>
    </row>
    <row r="289" spans="1:165" x14ac:dyDescent="0.2">
      <c r="A289" s="1" t="s">
        <v>1097</v>
      </c>
      <c r="B289" s="1" t="s">
        <v>1098</v>
      </c>
      <c r="C289" s="1" t="s">
        <v>864</v>
      </c>
      <c r="D289" s="1" t="str">
        <f>HYPERLINK("http://eros.fiehnlab.ucdavis.edu:8080/binbase-compound/bin/show/231945?db=rtx5","231945")</f>
        <v>231945</v>
      </c>
      <c r="E289" s="1" t="s">
        <v>1099</v>
      </c>
      <c r="F289" s="1" t="s">
        <v>184</v>
      </c>
      <c r="G289" s="1" t="s">
        <v>184</v>
      </c>
      <c r="H289" s="1"/>
      <c r="I289" s="8">
        <v>290</v>
      </c>
      <c r="J289" s="8">
        <v>294</v>
      </c>
      <c r="K289" s="8">
        <v>277</v>
      </c>
      <c r="L289" s="8">
        <v>329</v>
      </c>
      <c r="M289" s="8">
        <v>269</v>
      </c>
      <c r="N289" s="8">
        <v>424</v>
      </c>
      <c r="O289" s="8">
        <v>718</v>
      </c>
      <c r="P289" s="8">
        <v>856</v>
      </c>
      <c r="Q289" s="8">
        <v>720</v>
      </c>
      <c r="R289" s="8">
        <v>944</v>
      </c>
      <c r="S289" s="8">
        <v>880</v>
      </c>
      <c r="T289" s="8">
        <v>779</v>
      </c>
      <c r="U289" s="8">
        <v>935</v>
      </c>
      <c r="V289" s="8">
        <v>848</v>
      </c>
      <c r="W289" s="8">
        <v>861</v>
      </c>
      <c r="X289" s="8">
        <v>837</v>
      </c>
      <c r="Y289" s="8">
        <v>624</v>
      </c>
      <c r="Z289" s="8">
        <v>727</v>
      </c>
      <c r="AA289" s="8">
        <v>620</v>
      </c>
      <c r="AB289" s="8">
        <v>942</v>
      </c>
      <c r="AC289" s="8">
        <v>936</v>
      </c>
      <c r="AD289" s="8">
        <v>833</v>
      </c>
      <c r="AE289" s="8">
        <v>861</v>
      </c>
      <c r="AF289" s="8">
        <v>647</v>
      </c>
      <c r="AG289" s="8">
        <v>874</v>
      </c>
      <c r="AH289" s="8">
        <v>866</v>
      </c>
      <c r="AI289" s="8">
        <v>887</v>
      </c>
      <c r="AJ289" s="8">
        <v>1030</v>
      </c>
      <c r="AK289" s="8">
        <v>745</v>
      </c>
      <c r="AL289" s="8">
        <v>862</v>
      </c>
      <c r="AM289" s="8">
        <v>488</v>
      </c>
      <c r="AN289" s="8">
        <v>378</v>
      </c>
      <c r="AO289" s="8">
        <v>354</v>
      </c>
      <c r="AP289" s="8">
        <v>326</v>
      </c>
      <c r="AQ289" s="8">
        <v>307</v>
      </c>
      <c r="AR289" s="8">
        <v>261</v>
      </c>
      <c r="AS289" s="8">
        <v>239</v>
      </c>
      <c r="AT289" s="8">
        <v>287</v>
      </c>
      <c r="AU289" s="8">
        <v>207</v>
      </c>
      <c r="AV289" s="8">
        <v>326</v>
      </c>
      <c r="AW289" s="8">
        <v>374</v>
      </c>
      <c r="AX289" s="8">
        <v>305</v>
      </c>
      <c r="AY289" s="8">
        <v>301</v>
      </c>
      <c r="AZ289" s="8">
        <v>362</v>
      </c>
      <c r="BA289" s="8">
        <v>366</v>
      </c>
      <c r="BB289" s="8">
        <v>287</v>
      </c>
      <c r="BC289" s="8">
        <v>279</v>
      </c>
      <c r="BD289" s="8">
        <v>328</v>
      </c>
      <c r="BE289" s="8">
        <v>396</v>
      </c>
      <c r="BF289" s="8">
        <v>347</v>
      </c>
      <c r="BG289" s="8">
        <v>378</v>
      </c>
      <c r="BH289" s="8">
        <v>364</v>
      </c>
      <c r="BI289" s="8">
        <v>270</v>
      </c>
      <c r="BJ289" s="8">
        <v>336</v>
      </c>
      <c r="BK289" s="8">
        <v>482</v>
      </c>
      <c r="BL289" s="8">
        <v>506</v>
      </c>
      <c r="BM289" s="8">
        <v>464</v>
      </c>
      <c r="BN289" s="8">
        <v>334</v>
      </c>
      <c r="BO289" s="8">
        <v>452</v>
      </c>
      <c r="BP289" s="8">
        <v>453</v>
      </c>
      <c r="BQ289" s="8">
        <v>492</v>
      </c>
      <c r="BR289" s="8">
        <v>463</v>
      </c>
      <c r="BS289" s="8">
        <v>484</v>
      </c>
      <c r="BT289" s="8">
        <v>426</v>
      </c>
      <c r="BU289" s="8">
        <v>470</v>
      </c>
      <c r="BV289" s="8">
        <v>419</v>
      </c>
      <c r="BW289" s="8">
        <v>464</v>
      </c>
      <c r="BX289" s="8">
        <v>393</v>
      </c>
      <c r="BY289" s="8">
        <v>414</v>
      </c>
      <c r="BZ289" s="8">
        <v>434</v>
      </c>
      <c r="CA289" s="8">
        <v>391</v>
      </c>
      <c r="CB289" s="8">
        <v>296</v>
      </c>
      <c r="CC289" s="8">
        <v>434</v>
      </c>
      <c r="CD289" s="8">
        <v>519</v>
      </c>
      <c r="CE289" s="8">
        <v>512</v>
      </c>
      <c r="CF289" s="8">
        <v>440</v>
      </c>
      <c r="CG289" s="8">
        <v>472</v>
      </c>
      <c r="CH289" s="8">
        <v>432</v>
      </c>
      <c r="CJ289" s="9"/>
      <c r="CK289" s="9"/>
      <c r="CL289" s="9"/>
      <c r="CM289" s="9"/>
      <c r="CN289" s="9"/>
      <c r="CO289" s="9"/>
      <c r="CP289" s="9"/>
      <c r="CQ289" s="9"/>
      <c r="CR289" s="9"/>
      <c r="CS289" s="9"/>
      <c r="CT289" s="9"/>
      <c r="CU289" s="9"/>
      <c r="CV289" s="9"/>
      <c r="CW289" s="9"/>
      <c r="CX289" s="9"/>
      <c r="CY289" s="9"/>
      <c r="CZ289" s="9"/>
      <c r="DA289" s="9"/>
      <c r="DB289" s="9"/>
      <c r="DC289" s="9"/>
      <c r="DD289" s="9"/>
      <c r="DE289" s="9"/>
      <c r="DF289" s="9"/>
      <c r="DG289" s="9"/>
      <c r="DH289" s="9"/>
      <c r="DI289" s="9"/>
      <c r="DJ289" s="9"/>
      <c r="DK289" s="9"/>
      <c r="DL289" s="9"/>
      <c r="DM289" s="9"/>
      <c r="DN289" s="9"/>
      <c r="DO289" s="9"/>
      <c r="DP289" s="9"/>
      <c r="DQ289" s="9"/>
      <c r="DR289" s="9"/>
      <c r="DS289" s="9"/>
      <c r="DT289" s="9"/>
      <c r="DU289" s="9"/>
      <c r="DV289" s="9"/>
      <c r="DW289" s="9"/>
      <c r="DX289" s="9"/>
      <c r="DY289" s="9"/>
      <c r="DZ289" s="9"/>
      <c r="EA289" s="9"/>
      <c r="EB289" s="9"/>
      <c r="EC289" s="9"/>
      <c r="ED289" s="9"/>
      <c r="EE289" s="9"/>
      <c r="EF289" s="9"/>
      <c r="EG289" s="9"/>
      <c r="EH289" s="9"/>
      <c r="EI289" s="9"/>
      <c r="EJ289" s="9"/>
      <c r="EK289" s="9"/>
      <c r="EL289" s="9"/>
      <c r="EM289" s="9"/>
      <c r="EN289" s="9"/>
      <c r="EO289" s="9"/>
      <c r="EP289" s="9"/>
      <c r="EQ289" s="9"/>
      <c r="ER289" s="9"/>
      <c r="ES289" s="9"/>
      <c r="ET289" s="9"/>
      <c r="EU289" s="9"/>
      <c r="EV289" s="9"/>
      <c r="EW289" s="9"/>
      <c r="EX289" s="9"/>
      <c r="EY289" s="9"/>
      <c r="EZ289" s="9"/>
      <c r="FA289" s="9"/>
      <c r="FB289" s="9"/>
      <c r="FC289" s="9"/>
      <c r="FD289" s="9"/>
      <c r="FE289" s="9"/>
      <c r="FF289" s="9"/>
      <c r="FG289" s="9"/>
      <c r="FH289" s="9"/>
      <c r="FI289" s="9"/>
    </row>
    <row r="290" spans="1:165" x14ac:dyDescent="0.2">
      <c r="A290" s="1" t="s">
        <v>895</v>
      </c>
      <c r="B290" s="1" t="s">
        <v>896</v>
      </c>
      <c r="C290" s="1" t="s">
        <v>394</v>
      </c>
      <c r="D290" s="1" t="str">
        <f>HYPERLINK("http://eros.fiehnlab.ucdavis.edu:8080/binbase-compound/bin/show/301006?db=rtx5","301006")</f>
        <v>301006</v>
      </c>
      <c r="E290" s="1" t="s">
        <v>897</v>
      </c>
      <c r="F290" s="1" t="s">
        <v>184</v>
      </c>
      <c r="G290" s="1" t="s">
        <v>184</v>
      </c>
      <c r="H290" s="1"/>
      <c r="I290" s="8">
        <v>851</v>
      </c>
      <c r="J290" s="8">
        <v>756</v>
      </c>
      <c r="K290" s="8">
        <v>727</v>
      </c>
      <c r="L290" s="8">
        <v>567</v>
      </c>
      <c r="M290" s="8">
        <v>555</v>
      </c>
      <c r="N290" s="8">
        <v>381</v>
      </c>
      <c r="O290" s="8">
        <v>622</v>
      </c>
      <c r="P290" s="8">
        <v>721</v>
      </c>
      <c r="Q290" s="8">
        <v>857</v>
      </c>
      <c r="R290" s="8">
        <v>779</v>
      </c>
      <c r="S290" s="8">
        <v>871</v>
      </c>
      <c r="T290" s="8">
        <v>633</v>
      </c>
      <c r="U290" s="8">
        <v>877</v>
      </c>
      <c r="V290" s="8">
        <v>827</v>
      </c>
      <c r="W290" s="8">
        <v>735</v>
      </c>
      <c r="X290" s="8">
        <v>796</v>
      </c>
      <c r="Y290" s="8">
        <v>361</v>
      </c>
      <c r="Z290" s="8">
        <v>655</v>
      </c>
      <c r="AA290" s="8">
        <v>444</v>
      </c>
      <c r="AB290" s="8">
        <v>692</v>
      </c>
      <c r="AC290" s="8">
        <v>680</v>
      </c>
      <c r="AD290" s="8">
        <v>744</v>
      </c>
      <c r="AE290" s="8">
        <v>338</v>
      </c>
      <c r="AF290" s="8">
        <v>568</v>
      </c>
      <c r="AG290" s="8">
        <v>716</v>
      </c>
      <c r="AH290" s="8">
        <v>527</v>
      </c>
      <c r="AI290" s="8">
        <v>587</v>
      </c>
      <c r="AJ290" s="8">
        <v>1217</v>
      </c>
      <c r="AK290" s="8">
        <v>658</v>
      </c>
      <c r="AL290" s="8">
        <v>686</v>
      </c>
      <c r="AM290" s="8">
        <v>1225</v>
      </c>
      <c r="AN290" s="8">
        <v>778</v>
      </c>
      <c r="AO290" s="8">
        <v>780</v>
      </c>
      <c r="AP290" s="8">
        <v>484</v>
      </c>
      <c r="AQ290" s="8">
        <v>946</v>
      </c>
      <c r="AR290" s="8">
        <v>874</v>
      </c>
      <c r="AS290" s="8">
        <v>887</v>
      </c>
      <c r="AT290" s="8">
        <v>852</v>
      </c>
      <c r="AU290" s="8">
        <v>607</v>
      </c>
      <c r="AV290" s="8">
        <v>663</v>
      </c>
      <c r="AW290" s="8">
        <v>791</v>
      </c>
      <c r="AX290" s="8">
        <v>836</v>
      </c>
      <c r="AY290" s="8">
        <v>698</v>
      </c>
      <c r="AZ290" s="8">
        <v>801</v>
      </c>
      <c r="BA290" s="8">
        <v>853</v>
      </c>
      <c r="BB290" s="8">
        <v>888</v>
      </c>
      <c r="BC290" s="8">
        <v>847</v>
      </c>
      <c r="BD290" s="8">
        <v>992</v>
      </c>
      <c r="BE290" s="8">
        <v>806</v>
      </c>
      <c r="BF290" s="8">
        <v>795</v>
      </c>
      <c r="BG290" s="8">
        <v>718</v>
      </c>
      <c r="BH290" s="8">
        <v>563</v>
      </c>
      <c r="BI290" s="8">
        <v>692</v>
      </c>
      <c r="BJ290" s="8">
        <v>695</v>
      </c>
      <c r="BK290" s="8">
        <v>836</v>
      </c>
      <c r="BL290" s="8">
        <v>857</v>
      </c>
      <c r="BM290" s="8">
        <v>924</v>
      </c>
      <c r="BN290" s="8">
        <v>669</v>
      </c>
      <c r="BO290" s="8">
        <v>934</v>
      </c>
      <c r="BP290" s="8">
        <v>968</v>
      </c>
      <c r="BQ290" s="8">
        <v>898</v>
      </c>
      <c r="BR290" s="8">
        <v>878</v>
      </c>
      <c r="BS290" s="8">
        <v>974</v>
      </c>
      <c r="BT290" s="8">
        <v>786</v>
      </c>
      <c r="BU290" s="8">
        <v>365</v>
      </c>
      <c r="BV290" s="8">
        <v>523</v>
      </c>
      <c r="BW290" s="8">
        <v>840</v>
      </c>
      <c r="BX290" s="8">
        <v>631</v>
      </c>
      <c r="BY290" s="8">
        <v>747</v>
      </c>
      <c r="BZ290" s="8">
        <v>867</v>
      </c>
      <c r="CA290" s="8">
        <v>670</v>
      </c>
      <c r="CB290" s="8">
        <v>606</v>
      </c>
      <c r="CC290" s="8">
        <v>622</v>
      </c>
      <c r="CD290" s="8">
        <v>592</v>
      </c>
      <c r="CE290" s="8">
        <v>645</v>
      </c>
      <c r="CF290" s="8">
        <v>522</v>
      </c>
      <c r="CG290" s="8">
        <v>744</v>
      </c>
      <c r="CH290" s="8">
        <v>698</v>
      </c>
      <c r="CJ290" s="9"/>
      <c r="CK290" s="9"/>
      <c r="CL290" s="9"/>
      <c r="CM290" s="9"/>
      <c r="CN290" s="9"/>
      <c r="CO290" s="9"/>
      <c r="CP290" s="9"/>
      <c r="CQ290" s="9"/>
      <c r="CR290" s="9"/>
      <c r="CS290" s="9"/>
      <c r="CT290" s="9"/>
      <c r="CU290" s="9"/>
      <c r="CV290" s="9"/>
      <c r="CW290" s="9"/>
      <c r="CX290" s="9"/>
      <c r="CY290" s="9"/>
      <c r="CZ290" s="9"/>
      <c r="DA290" s="9"/>
      <c r="DB290" s="9"/>
      <c r="DC290" s="9"/>
      <c r="DD290" s="9"/>
      <c r="DE290" s="9"/>
      <c r="DF290" s="9"/>
      <c r="DG290" s="9"/>
      <c r="DH290" s="9"/>
      <c r="DI290" s="9"/>
      <c r="DJ290" s="9"/>
      <c r="DK290" s="9"/>
      <c r="DL290" s="9"/>
      <c r="DM290" s="9"/>
      <c r="DN290" s="9"/>
      <c r="DO290" s="9"/>
      <c r="DP290" s="9"/>
      <c r="DQ290" s="9"/>
      <c r="DR290" s="9"/>
      <c r="DS290" s="9"/>
      <c r="DT290" s="9"/>
      <c r="DU290" s="9"/>
      <c r="DV290" s="9"/>
      <c r="DW290" s="9"/>
      <c r="DX290" s="9"/>
      <c r="DY290" s="9"/>
      <c r="DZ290" s="9"/>
      <c r="EA290" s="9"/>
      <c r="EB290" s="9"/>
      <c r="EC290" s="9"/>
      <c r="ED290" s="9"/>
      <c r="EE290" s="9"/>
      <c r="EF290" s="9"/>
      <c r="EG290" s="9"/>
      <c r="EH290" s="9"/>
      <c r="EI290" s="9"/>
      <c r="EJ290" s="9"/>
      <c r="EK290" s="9"/>
      <c r="EL290" s="9"/>
      <c r="EM290" s="9"/>
      <c r="EN290" s="9"/>
      <c r="EO290" s="9"/>
      <c r="EP290" s="9"/>
      <c r="EQ290" s="9"/>
      <c r="ER290" s="9"/>
      <c r="ES290" s="9"/>
      <c r="ET290" s="9"/>
      <c r="EU290" s="9"/>
      <c r="EV290" s="9"/>
      <c r="EW290" s="9"/>
      <c r="EX290" s="9"/>
      <c r="EY290" s="9"/>
      <c r="EZ290" s="9"/>
      <c r="FA290" s="9"/>
      <c r="FB290" s="9"/>
      <c r="FC290" s="9"/>
      <c r="FD290" s="9"/>
      <c r="FE290" s="9"/>
      <c r="FF290" s="9"/>
      <c r="FG290" s="9"/>
      <c r="FH290" s="9"/>
      <c r="FI290" s="9"/>
    </row>
    <row r="291" spans="1:165" x14ac:dyDescent="0.2">
      <c r="A291" s="1" t="s">
        <v>1275</v>
      </c>
      <c r="B291" s="1" t="s">
        <v>1276</v>
      </c>
      <c r="C291" s="1" t="s">
        <v>578</v>
      </c>
      <c r="D291" s="1" t="str">
        <f>HYPERLINK("http://eros.fiehnlab.ucdavis.edu:8080/binbase-compound/bin/show/213974?db=rtx5","213974")</f>
        <v>213974</v>
      </c>
      <c r="E291" s="1" t="s">
        <v>1277</v>
      </c>
      <c r="F291" s="1" t="s">
        <v>184</v>
      </c>
      <c r="G291" s="1" t="s">
        <v>184</v>
      </c>
      <c r="H291" s="1"/>
      <c r="I291" s="8">
        <v>988</v>
      </c>
      <c r="J291" s="8">
        <v>840</v>
      </c>
      <c r="K291" s="8">
        <v>548</v>
      </c>
      <c r="L291" s="8">
        <v>966</v>
      </c>
      <c r="M291" s="8">
        <v>1091</v>
      </c>
      <c r="N291" s="8">
        <v>853</v>
      </c>
      <c r="O291" s="8">
        <v>515</v>
      </c>
      <c r="P291" s="8">
        <v>455</v>
      </c>
      <c r="Q291" s="8">
        <v>382</v>
      </c>
      <c r="R291" s="8">
        <v>408</v>
      </c>
      <c r="S291" s="8">
        <v>451</v>
      </c>
      <c r="T291" s="8">
        <v>237</v>
      </c>
      <c r="U291" s="8">
        <v>703</v>
      </c>
      <c r="V291" s="8">
        <v>536</v>
      </c>
      <c r="W291" s="8">
        <v>432</v>
      </c>
      <c r="X291" s="8">
        <v>361</v>
      </c>
      <c r="Y291" s="8">
        <v>335</v>
      </c>
      <c r="Z291" s="8">
        <v>383</v>
      </c>
      <c r="AA291" s="8">
        <v>339</v>
      </c>
      <c r="AB291" s="8">
        <v>506</v>
      </c>
      <c r="AC291" s="8">
        <v>813</v>
      </c>
      <c r="AD291" s="8">
        <v>405</v>
      </c>
      <c r="AE291" s="8">
        <v>436</v>
      </c>
      <c r="AF291" s="8">
        <v>324</v>
      </c>
      <c r="AG291" s="8">
        <v>605</v>
      </c>
      <c r="AH291" s="8">
        <v>271</v>
      </c>
      <c r="AI291" s="8">
        <v>703</v>
      </c>
      <c r="AJ291" s="8">
        <v>541</v>
      </c>
      <c r="AK291" s="8">
        <v>414</v>
      </c>
      <c r="AL291" s="8">
        <v>334</v>
      </c>
      <c r="AM291" s="8">
        <v>500</v>
      </c>
      <c r="AN291" s="8">
        <v>463</v>
      </c>
      <c r="AO291" s="8">
        <v>293</v>
      </c>
      <c r="AP291" s="8">
        <v>442</v>
      </c>
      <c r="AQ291" s="8">
        <v>350</v>
      </c>
      <c r="AR291" s="8">
        <v>261</v>
      </c>
      <c r="AS291" s="8">
        <v>551</v>
      </c>
      <c r="AT291" s="8">
        <v>648</v>
      </c>
      <c r="AU291" s="8">
        <v>474</v>
      </c>
      <c r="AV291" s="8">
        <v>398</v>
      </c>
      <c r="AW291" s="8">
        <v>267</v>
      </c>
      <c r="AX291" s="8">
        <v>259</v>
      </c>
      <c r="AY291" s="8">
        <v>444</v>
      </c>
      <c r="AZ291" s="8">
        <v>289</v>
      </c>
      <c r="BA291" s="8">
        <v>290</v>
      </c>
      <c r="BB291" s="8">
        <v>297</v>
      </c>
      <c r="BC291" s="8">
        <v>379</v>
      </c>
      <c r="BD291" s="8">
        <v>296</v>
      </c>
      <c r="BE291" s="8">
        <v>805</v>
      </c>
      <c r="BF291" s="8">
        <v>632</v>
      </c>
      <c r="BG291" s="8">
        <v>605</v>
      </c>
      <c r="BH291" s="8">
        <v>521</v>
      </c>
      <c r="BI291" s="8">
        <v>419</v>
      </c>
      <c r="BJ291" s="8">
        <v>500</v>
      </c>
      <c r="BK291" s="8">
        <v>565</v>
      </c>
      <c r="BL291" s="8">
        <v>511</v>
      </c>
      <c r="BM291" s="8">
        <v>595</v>
      </c>
      <c r="BN291" s="8">
        <v>286</v>
      </c>
      <c r="BO291" s="8">
        <v>544</v>
      </c>
      <c r="BP291" s="8">
        <v>380</v>
      </c>
      <c r="BQ291" s="8">
        <v>596</v>
      </c>
      <c r="BR291" s="8">
        <v>575</v>
      </c>
      <c r="BS291" s="8">
        <v>504</v>
      </c>
      <c r="BT291" s="8">
        <v>387</v>
      </c>
      <c r="BU291" s="8">
        <v>418</v>
      </c>
      <c r="BV291" s="8">
        <v>386</v>
      </c>
      <c r="BW291" s="8">
        <v>536</v>
      </c>
      <c r="BX291" s="8">
        <v>503</v>
      </c>
      <c r="BY291" s="8">
        <v>534</v>
      </c>
      <c r="BZ291" s="8">
        <v>446</v>
      </c>
      <c r="CA291" s="8">
        <v>424</v>
      </c>
      <c r="CB291" s="8">
        <v>353</v>
      </c>
      <c r="CC291" s="8">
        <v>429</v>
      </c>
      <c r="CD291" s="8">
        <v>599</v>
      </c>
      <c r="CE291" s="8">
        <v>407</v>
      </c>
      <c r="CF291" s="8">
        <v>520</v>
      </c>
      <c r="CG291" s="8">
        <v>446</v>
      </c>
      <c r="CH291" s="8">
        <v>576</v>
      </c>
      <c r="CJ291" s="9"/>
      <c r="CK291" s="9"/>
      <c r="CL291" s="9"/>
      <c r="CM291" s="9"/>
      <c r="CN291" s="9"/>
      <c r="CO291" s="9"/>
      <c r="CP291" s="9"/>
      <c r="CQ291" s="9"/>
      <c r="CR291" s="9"/>
      <c r="CS291" s="9"/>
      <c r="CT291" s="9"/>
      <c r="CU291" s="9"/>
      <c r="CV291" s="9"/>
      <c r="CW291" s="9"/>
      <c r="CX291" s="9"/>
      <c r="CY291" s="9"/>
      <c r="CZ291" s="9"/>
      <c r="DA291" s="9"/>
      <c r="DB291" s="9"/>
      <c r="DC291" s="9"/>
      <c r="DD291" s="9"/>
      <c r="DE291" s="9"/>
      <c r="DF291" s="9"/>
      <c r="DG291" s="9"/>
      <c r="DH291" s="9"/>
      <c r="DI291" s="9"/>
      <c r="DJ291" s="9"/>
      <c r="DK291" s="9"/>
      <c r="DL291" s="9"/>
      <c r="DM291" s="9"/>
      <c r="DN291" s="9"/>
      <c r="DO291" s="9"/>
      <c r="DP291" s="9"/>
      <c r="DQ291" s="9"/>
      <c r="DR291" s="9"/>
      <c r="DS291" s="9"/>
      <c r="DT291" s="9"/>
      <c r="DU291" s="9"/>
      <c r="DV291" s="9"/>
      <c r="DW291" s="9"/>
      <c r="DX291" s="9"/>
      <c r="DY291" s="9"/>
      <c r="DZ291" s="9"/>
      <c r="EA291" s="9"/>
      <c r="EB291" s="9"/>
      <c r="EC291" s="9"/>
      <c r="ED291" s="9"/>
      <c r="EE291" s="9"/>
      <c r="EF291" s="9"/>
      <c r="EG291" s="9"/>
      <c r="EH291" s="9"/>
      <c r="EI291" s="9"/>
      <c r="EJ291" s="9"/>
      <c r="EK291" s="9"/>
      <c r="EL291" s="9"/>
      <c r="EM291" s="9"/>
      <c r="EN291" s="9"/>
      <c r="EO291" s="9"/>
      <c r="EP291" s="9"/>
      <c r="EQ291" s="9"/>
      <c r="ER291" s="9"/>
      <c r="ES291" s="9"/>
      <c r="ET291" s="9"/>
      <c r="EU291" s="9"/>
      <c r="EV291" s="9"/>
      <c r="EW291" s="9"/>
      <c r="EX291" s="9"/>
      <c r="EY291" s="9"/>
      <c r="EZ291" s="9"/>
      <c r="FA291" s="9"/>
      <c r="FB291" s="9"/>
      <c r="FC291" s="9"/>
      <c r="FD291" s="9"/>
      <c r="FE291" s="9"/>
      <c r="FF291" s="9"/>
      <c r="FG291" s="9"/>
      <c r="FH291" s="9"/>
      <c r="FI291" s="9"/>
    </row>
    <row r="292" spans="1:165" x14ac:dyDescent="0.2">
      <c r="A292" s="1" t="s">
        <v>1311</v>
      </c>
      <c r="B292" s="1" t="s">
        <v>1312</v>
      </c>
      <c r="C292" s="1" t="s">
        <v>809</v>
      </c>
      <c r="D292" s="1" t="str">
        <f>HYPERLINK("http://eros.fiehnlab.ucdavis.edu:8080/binbase-compound/bin/show/208664?db=rtx5","208664")</f>
        <v>208664</v>
      </c>
      <c r="E292" s="1" t="s">
        <v>1313</v>
      </c>
      <c r="F292" s="1" t="s">
        <v>184</v>
      </c>
      <c r="G292" s="1" t="s">
        <v>184</v>
      </c>
      <c r="H292" s="1"/>
      <c r="I292" s="8">
        <v>510</v>
      </c>
      <c r="J292" s="8">
        <v>515</v>
      </c>
      <c r="K292" s="8">
        <v>519</v>
      </c>
      <c r="L292" s="8">
        <v>481</v>
      </c>
      <c r="M292" s="8">
        <v>190</v>
      </c>
      <c r="N292" s="8">
        <v>211</v>
      </c>
      <c r="O292" s="8">
        <v>446</v>
      </c>
      <c r="P292" s="8">
        <v>477</v>
      </c>
      <c r="Q292" s="8">
        <v>214</v>
      </c>
      <c r="R292" s="8">
        <v>323</v>
      </c>
      <c r="S292" s="8">
        <v>324</v>
      </c>
      <c r="T292" s="8">
        <v>234</v>
      </c>
      <c r="U292" s="8">
        <v>646</v>
      </c>
      <c r="V292" s="8">
        <v>587</v>
      </c>
      <c r="W292" s="8">
        <v>530</v>
      </c>
      <c r="X292" s="8">
        <v>199</v>
      </c>
      <c r="Y292" s="8">
        <v>364</v>
      </c>
      <c r="Z292" s="8">
        <v>364</v>
      </c>
      <c r="AA292" s="8">
        <v>269</v>
      </c>
      <c r="AB292" s="8">
        <v>508</v>
      </c>
      <c r="AC292" s="8">
        <v>358</v>
      </c>
      <c r="AD292" s="8">
        <v>348</v>
      </c>
      <c r="AE292" s="8">
        <v>698</v>
      </c>
      <c r="AF292" s="8">
        <v>130</v>
      </c>
      <c r="AG292" s="8">
        <v>331</v>
      </c>
      <c r="AH292" s="8">
        <v>328</v>
      </c>
      <c r="AI292" s="8">
        <v>437</v>
      </c>
      <c r="AJ292" s="8">
        <v>697</v>
      </c>
      <c r="AK292" s="8">
        <v>314</v>
      </c>
      <c r="AL292" s="8">
        <v>196</v>
      </c>
      <c r="AM292" s="8">
        <v>531</v>
      </c>
      <c r="AN292" s="8">
        <v>705</v>
      </c>
      <c r="AO292" s="8">
        <v>416</v>
      </c>
      <c r="AP292" s="8">
        <v>497</v>
      </c>
      <c r="AQ292" s="8">
        <v>300</v>
      </c>
      <c r="AR292" s="8">
        <v>208</v>
      </c>
      <c r="AS292" s="8">
        <v>505</v>
      </c>
      <c r="AT292" s="8">
        <v>522</v>
      </c>
      <c r="AU292" s="8">
        <v>512</v>
      </c>
      <c r="AV292" s="8">
        <v>415</v>
      </c>
      <c r="AW292" s="8">
        <v>567</v>
      </c>
      <c r="AX292" s="8">
        <v>270</v>
      </c>
      <c r="AY292" s="8">
        <v>331</v>
      </c>
      <c r="AZ292" s="8">
        <v>595</v>
      </c>
      <c r="BA292" s="8">
        <v>169</v>
      </c>
      <c r="BB292" s="8">
        <v>249</v>
      </c>
      <c r="BC292" s="8">
        <v>222</v>
      </c>
      <c r="BD292" s="8">
        <v>260</v>
      </c>
      <c r="BE292" s="8">
        <v>539</v>
      </c>
      <c r="BF292" s="8">
        <v>230</v>
      </c>
      <c r="BG292" s="8">
        <v>437</v>
      </c>
      <c r="BH292" s="8">
        <v>417</v>
      </c>
      <c r="BI292" s="8">
        <v>222</v>
      </c>
      <c r="BJ292" s="8">
        <v>273</v>
      </c>
      <c r="BK292" s="8">
        <v>622</v>
      </c>
      <c r="BL292" s="8">
        <v>523</v>
      </c>
      <c r="BM292" s="8">
        <v>527</v>
      </c>
      <c r="BN292" s="8">
        <v>403</v>
      </c>
      <c r="BO292" s="8">
        <v>313</v>
      </c>
      <c r="BP292" s="8">
        <v>551</v>
      </c>
      <c r="BQ292" s="8">
        <v>378</v>
      </c>
      <c r="BR292" s="8">
        <v>355</v>
      </c>
      <c r="BS292" s="8">
        <v>515</v>
      </c>
      <c r="BT292" s="8">
        <v>229</v>
      </c>
      <c r="BU292" s="8">
        <v>186</v>
      </c>
      <c r="BV292" s="8">
        <v>369</v>
      </c>
      <c r="BW292" s="8">
        <v>390</v>
      </c>
      <c r="BX292" s="8">
        <v>324</v>
      </c>
      <c r="BY292" s="8">
        <v>375</v>
      </c>
      <c r="BZ292" s="8">
        <v>420</v>
      </c>
      <c r="CA292" s="8">
        <v>163</v>
      </c>
      <c r="CB292" s="8">
        <v>176</v>
      </c>
      <c r="CC292" s="8">
        <v>353</v>
      </c>
      <c r="CD292" s="8">
        <v>153</v>
      </c>
      <c r="CE292" s="8">
        <v>527</v>
      </c>
      <c r="CF292" s="8">
        <v>241</v>
      </c>
      <c r="CG292" s="8">
        <v>389</v>
      </c>
      <c r="CH292" s="8">
        <v>158</v>
      </c>
      <c r="CJ292" s="9"/>
      <c r="CK292" s="9"/>
      <c r="CL292" s="9"/>
      <c r="CM292" s="9"/>
      <c r="CN292" s="9"/>
      <c r="CO292" s="9"/>
      <c r="CP292" s="9"/>
      <c r="CQ292" s="9"/>
      <c r="CR292" s="9"/>
      <c r="CS292" s="9"/>
      <c r="CT292" s="9"/>
      <c r="CU292" s="9"/>
      <c r="CV292" s="9"/>
      <c r="CW292" s="9"/>
      <c r="CX292" s="9"/>
      <c r="CY292" s="9"/>
      <c r="CZ292" s="9"/>
      <c r="DA292" s="9"/>
      <c r="DB292" s="9"/>
      <c r="DC292" s="9"/>
      <c r="DD292" s="9"/>
      <c r="DE292" s="9"/>
      <c r="DF292" s="9"/>
      <c r="DG292" s="9"/>
      <c r="DH292" s="9"/>
      <c r="DI292" s="9"/>
      <c r="DJ292" s="9"/>
      <c r="DK292" s="9"/>
      <c r="DL292" s="9"/>
      <c r="DM292" s="9"/>
      <c r="DN292" s="9"/>
      <c r="DO292" s="9"/>
      <c r="DP292" s="9"/>
      <c r="DQ292" s="9"/>
      <c r="DR292" s="9"/>
      <c r="DS292" s="9"/>
      <c r="DT292" s="9"/>
      <c r="DU292" s="9"/>
      <c r="DV292" s="9"/>
      <c r="DW292" s="9"/>
      <c r="DX292" s="9"/>
      <c r="DY292" s="9"/>
      <c r="DZ292" s="9"/>
      <c r="EA292" s="9"/>
      <c r="EB292" s="9"/>
      <c r="EC292" s="9"/>
      <c r="ED292" s="9"/>
      <c r="EE292" s="9"/>
      <c r="EF292" s="9"/>
      <c r="EG292" s="9"/>
      <c r="EH292" s="9"/>
      <c r="EI292" s="9"/>
      <c r="EJ292" s="9"/>
      <c r="EK292" s="9"/>
      <c r="EL292" s="9"/>
      <c r="EM292" s="9"/>
      <c r="EN292" s="9"/>
      <c r="EO292" s="9"/>
      <c r="EP292" s="9"/>
      <c r="EQ292" s="9"/>
      <c r="ER292" s="9"/>
      <c r="ES292" s="9"/>
      <c r="ET292" s="9"/>
      <c r="EU292" s="9"/>
      <c r="EV292" s="9"/>
      <c r="EW292" s="9"/>
      <c r="EX292" s="9"/>
      <c r="EY292" s="9"/>
      <c r="EZ292" s="9"/>
      <c r="FA292" s="9"/>
      <c r="FB292" s="9"/>
      <c r="FC292" s="9"/>
      <c r="FD292" s="9"/>
      <c r="FE292" s="9"/>
      <c r="FF292" s="9"/>
      <c r="FG292" s="9"/>
      <c r="FH292" s="9"/>
      <c r="FI292" s="9"/>
    </row>
    <row r="293" spans="1:165" x14ac:dyDescent="0.2">
      <c r="A293" s="1" t="s">
        <v>1094</v>
      </c>
      <c r="B293" s="1" t="s">
        <v>1095</v>
      </c>
      <c r="C293" s="1" t="s">
        <v>893</v>
      </c>
      <c r="D293" s="1" t="str">
        <f>HYPERLINK("http://eros.fiehnlab.ucdavis.edu:8080/binbase-compound/bin/show/232017?db=rtx5","232017")</f>
        <v>232017</v>
      </c>
      <c r="E293" s="1" t="s">
        <v>1096</v>
      </c>
      <c r="F293" s="1" t="s">
        <v>184</v>
      </c>
      <c r="G293" s="1" t="s">
        <v>184</v>
      </c>
      <c r="H293" s="1"/>
      <c r="I293" s="8">
        <v>348</v>
      </c>
      <c r="J293" s="8">
        <v>517</v>
      </c>
      <c r="K293" s="8">
        <v>467</v>
      </c>
      <c r="L293" s="8">
        <v>269</v>
      </c>
      <c r="M293" s="8">
        <v>500</v>
      </c>
      <c r="N293" s="8">
        <v>495</v>
      </c>
      <c r="O293" s="8">
        <v>532</v>
      </c>
      <c r="P293" s="8">
        <v>322</v>
      </c>
      <c r="Q293" s="8">
        <v>653</v>
      </c>
      <c r="R293" s="8">
        <v>583</v>
      </c>
      <c r="S293" s="8">
        <v>547</v>
      </c>
      <c r="T293" s="8">
        <v>420</v>
      </c>
      <c r="U293" s="8">
        <v>527</v>
      </c>
      <c r="V293" s="8">
        <v>379</v>
      </c>
      <c r="W293" s="8">
        <v>450</v>
      </c>
      <c r="X293" s="8">
        <v>472</v>
      </c>
      <c r="Y293" s="8">
        <v>341</v>
      </c>
      <c r="Z293" s="8">
        <v>616</v>
      </c>
      <c r="AA293" s="8">
        <v>185</v>
      </c>
      <c r="AB293" s="8">
        <v>334</v>
      </c>
      <c r="AC293" s="8">
        <v>205</v>
      </c>
      <c r="AD293" s="8">
        <v>296</v>
      </c>
      <c r="AE293" s="8">
        <v>340</v>
      </c>
      <c r="AF293" s="8">
        <v>361</v>
      </c>
      <c r="AG293" s="8">
        <v>351</v>
      </c>
      <c r="AH293" s="8">
        <v>357</v>
      </c>
      <c r="AI293" s="8">
        <v>414</v>
      </c>
      <c r="AJ293" s="8">
        <v>513</v>
      </c>
      <c r="AK293" s="8">
        <v>424</v>
      </c>
      <c r="AL293" s="8">
        <v>812</v>
      </c>
      <c r="AM293" s="8">
        <v>740</v>
      </c>
      <c r="AN293" s="8">
        <v>516</v>
      </c>
      <c r="AO293" s="8">
        <v>393</v>
      </c>
      <c r="AP293" s="8">
        <v>576</v>
      </c>
      <c r="AQ293" s="8">
        <v>663</v>
      </c>
      <c r="AR293" s="8">
        <v>432</v>
      </c>
      <c r="AS293" s="8">
        <v>537</v>
      </c>
      <c r="AT293" s="8">
        <v>381</v>
      </c>
      <c r="AU293" s="8">
        <v>301</v>
      </c>
      <c r="AV293" s="8">
        <v>342</v>
      </c>
      <c r="AW293" s="8">
        <v>468</v>
      </c>
      <c r="AX293" s="8">
        <v>545</v>
      </c>
      <c r="AY293" s="8">
        <v>414</v>
      </c>
      <c r="AZ293" s="8">
        <v>537</v>
      </c>
      <c r="BA293" s="8">
        <v>505</v>
      </c>
      <c r="BB293" s="8">
        <v>505</v>
      </c>
      <c r="BC293" s="8">
        <v>385</v>
      </c>
      <c r="BD293" s="8">
        <v>387</v>
      </c>
      <c r="BE293" s="8">
        <v>492</v>
      </c>
      <c r="BF293" s="8">
        <v>372</v>
      </c>
      <c r="BG293" s="8">
        <v>509</v>
      </c>
      <c r="BH293" s="8">
        <v>361</v>
      </c>
      <c r="BI293" s="8">
        <v>544</v>
      </c>
      <c r="BJ293" s="8">
        <v>484</v>
      </c>
      <c r="BK293" s="8">
        <v>310</v>
      </c>
      <c r="BL293" s="8">
        <v>561</v>
      </c>
      <c r="BM293" s="8">
        <v>408</v>
      </c>
      <c r="BN293" s="8">
        <v>501</v>
      </c>
      <c r="BO293" s="8">
        <v>530</v>
      </c>
      <c r="BP293" s="8">
        <v>503</v>
      </c>
      <c r="BQ293" s="8">
        <v>481</v>
      </c>
      <c r="BR293" s="8">
        <v>424</v>
      </c>
      <c r="BS293" s="8">
        <v>394</v>
      </c>
      <c r="BT293" s="8">
        <v>486</v>
      </c>
      <c r="BU293" s="8">
        <v>378</v>
      </c>
      <c r="BV293" s="8">
        <v>283</v>
      </c>
      <c r="BW293" s="8">
        <v>427</v>
      </c>
      <c r="BX293" s="8">
        <v>151</v>
      </c>
      <c r="BY293" s="8">
        <v>206</v>
      </c>
      <c r="BZ293" s="8">
        <v>387</v>
      </c>
      <c r="CA293" s="8">
        <v>444</v>
      </c>
      <c r="CB293" s="8">
        <v>220</v>
      </c>
      <c r="CC293" s="8">
        <v>313</v>
      </c>
      <c r="CD293" s="8">
        <v>350</v>
      </c>
      <c r="CE293" s="8">
        <v>344</v>
      </c>
      <c r="CF293" s="8">
        <v>226</v>
      </c>
      <c r="CG293" s="8">
        <v>503</v>
      </c>
      <c r="CH293" s="8">
        <v>321</v>
      </c>
      <c r="CJ293" s="9"/>
      <c r="CK293" s="9"/>
      <c r="CL293" s="9"/>
      <c r="CM293" s="9"/>
      <c r="CN293" s="9"/>
      <c r="CO293" s="9"/>
      <c r="CP293" s="9"/>
      <c r="CQ293" s="9"/>
      <c r="CR293" s="9"/>
      <c r="CS293" s="9"/>
      <c r="CT293" s="9"/>
      <c r="CU293" s="9"/>
      <c r="CV293" s="9"/>
      <c r="CW293" s="9"/>
      <c r="CX293" s="9"/>
      <c r="CY293" s="9"/>
      <c r="CZ293" s="9"/>
      <c r="DA293" s="9"/>
      <c r="DB293" s="9"/>
      <c r="DC293" s="9"/>
      <c r="DD293" s="9"/>
      <c r="DE293" s="9"/>
      <c r="DF293" s="9"/>
      <c r="DG293" s="9"/>
      <c r="DH293" s="9"/>
      <c r="DI293" s="9"/>
      <c r="DJ293" s="9"/>
      <c r="DK293" s="9"/>
      <c r="DL293" s="9"/>
      <c r="DM293" s="9"/>
      <c r="DN293" s="9"/>
      <c r="DO293" s="9"/>
      <c r="DP293" s="9"/>
      <c r="DQ293" s="9"/>
      <c r="DR293" s="9"/>
      <c r="DS293" s="9"/>
      <c r="DT293" s="9"/>
      <c r="DU293" s="9"/>
      <c r="DV293" s="9"/>
      <c r="DW293" s="9"/>
      <c r="DX293" s="9"/>
      <c r="DY293" s="9"/>
      <c r="DZ293" s="9"/>
      <c r="EA293" s="9"/>
      <c r="EB293" s="9"/>
      <c r="EC293" s="9"/>
      <c r="ED293" s="9"/>
      <c r="EE293" s="9"/>
      <c r="EF293" s="9"/>
      <c r="EG293" s="9"/>
      <c r="EH293" s="9"/>
      <c r="EI293" s="9"/>
      <c r="EJ293" s="9"/>
      <c r="EK293" s="9"/>
      <c r="EL293" s="9"/>
      <c r="EM293" s="9"/>
      <c r="EN293" s="9"/>
      <c r="EO293" s="9"/>
      <c r="EP293" s="9"/>
      <c r="EQ293" s="9"/>
      <c r="ER293" s="9"/>
      <c r="ES293" s="9"/>
      <c r="ET293" s="9"/>
      <c r="EU293" s="9"/>
      <c r="EV293" s="9"/>
      <c r="EW293" s="9"/>
      <c r="EX293" s="9"/>
      <c r="EY293" s="9"/>
      <c r="EZ293" s="9"/>
      <c r="FA293" s="9"/>
      <c r="FB293" s="9"/>
      <c r="FC293" s="9"/>
      <c r="FD293" s="9"/>
      <c r="FE293" s="9"/>
      <c r="FF293" s="9"/>
      <c r="FG293" s="9"/>
      <c r="FH293" s="9"/>
      <c r="FI293" s="9"/>
    </row>
    <row r="294" spans="1:165" x14ac:dyDescent="0.2">
      <c r="A294" s="1" t="s">
        <v>1123</v>
      </c>
      <c r="B294" s="1" t="s">
        <v>1124</v>
      </c>
      <c r="C294" s="1" t="s">
        <v>427</v>
      </c>
      <c r="D294" s="1" t="str">
        <f>HYPERLINK("http://eros.fiehnlab.ucdavis.edu:8080/binbase-compound/bin/show/229155?db=rtx5","229155")</f>
        <v>229155</v>
      </c>
      <c r="E294" s="1" t="s">
        <v>1125</v>
      </c>
      <c r="F294" s="1" t="s">
        <v>184</v>
      </c>
      <c r="G294" s="1" t="s">
        <v>184</v>
      </c>
      <c r="H294" s="1"/>
      <c r="I294" s="8">
        <v>2632</v>
      </c>
      <c r="J294" s="8">
        <v>2734</v>
      </c>
      <c r="K294" s="8">
        <v>2191</v>
      </c>
      <c r="L294" s="8">
        <v>1139</v>
      </c>
      <c r="M294" s="8">
        <v>1721</v>
      </c>
      <c r="N294" s="8">
        <v>1652</v>
      </c>
      <c r="O294" s="8">
        <v>2041</v>
      </c>
      <c r="P294" s="8">
        <v>2222</v>
      </c>
      <c r="Q294" s="8">
        <v>1941</v>
      </c>
      <c r="R294" s="8">
        <v>1523</v>
      </c>
      <c r="S294" s="8">
        <v>1679</v>
      </c>
      <c r="T294" s="8">
        <v>2001</v>
      </c>
      <c r="U294" s="8">
        <v>1822</v>
      </c>
      <c r="V294" s="8">
        <v>1754</v>
      </c>
      <c r="W294" s="8">
        <v>1431</v>
      </c>
      <c r="X294" s="8">
        <v>1379</v>
      </c>
      <c r="Y294" s="8">
        <v>2221</v>
      </c>
      <c r="Z294" s="8">
        <v>1234</v>
      </c>
      <c r="AA294" s="8">
        <v>1215</v>
      </c>
      <c r="AB294" s="8">
        <v>2638</v>
      </c>
      <c r="AC294" s="8">
        <v>1074</v>
      </c>
      <c r="AD294" s="8">
        <v>1709</v>
      </c>
      <c r="AE294" s="8">
        <v>1713</v>
      </c>
      <c r="AF294" s="8">
        <v>1565</v>
      </c>
      <c r="AG294" s="8">
        <v>2092</v>
      </c>
      <c r="AH294" s="8">
        <v>1410</v>
      </c>
      <c r="AI294" s="8">
        <v>1408</v>
      </c>
      <c r="AJ294" s="8">
        <v>3547</v>
      </c>
      <c r="AK294" s="8">
        <v>787</v>
      </c>
      <c r="AL294" s="8">
        <v>1594</v>
      </c>
      <c r="AM294" s="8">
        <v>3363</v>
      </c>
      <c r="AN294" s="8">
        <v>1168</v>
      </c>
      <c r="AO294" s="8">
        <v>1368</v>
      </c>
      <c r="AP294" s="8">
        <v>2097</v>
      </c>
      <c r="AQ294" s="8">
        <v>1728</v>
      </c>
      <c r="AR294" s="8">
        <v>1893</v>
      </c>
      <c r="AS294" s="8">
        <v>2070</v>
      </c>
      <c r="AT294" s="8">
        <v>1305</v>
      </c>
      <c r="AU294" s="8">
        <v>2116</v>
      </c>
      <c r="AV294" s="8">
        <v>2594</v>
      </c>
      <c r="AW294" s="8">
        <v>1436</v>
      </c>
      <c r="AX294" s="8">
        <v>2930</v>
      </c>
      <c r="AY294" s="8">
        <v>1964</v>
      </c>
      <c r="AZ294" s="8">
        <v>1888</v>
      </c>
      <c r="BA294" s="8">
        <v>2007</v>
      </c>
      <c r="BB294" s="8">
        <v>2286</v>
      </c>
      <c r="BC294" s="8">
        <v>2724</v>
      </c>
      <c r="BD294" s="8">
        <v>1814</v>
      </c>
      <c r="BE294" s="8">
        <v>1176</v>
      </c>
      <c r="BF294" s="8">
        <v>1395</v>
      </c>
      <c r="BG294" s="8">
        <v>1843</v>
      </c>
      <c r="BH294" s="8">
        <v>1640</v>
      </c>
      <c r="BI294" s="8">
        <v>1643</v>
      </c>
      <c r="BJ294" s="8">
        <v>1446</v>
      </c>
      <c r="BK294" s="8">
        <v>1995</v>
      </c>
      <c r="BL294" s="8">
        <v>3038</v>
      </c>
      <c r="BM294" s="8">
        <v>2885</v>
      </c>
      <c r="BN294" s="8">
        <v>1470</v>
      </c>
      <c r="BO294" s="8">
        <v>2234</v>
      </c>
      <c r="BP294" s="8">
        <v>2315</v>
      </c>
      <c r="BQ294" s="8">
        <v>2165</v>
      </c>
      <c r="BR294" s="8">
        <v>2503</v>
      </c>
      <c r="BS294" s="8">
        <v>2190</v>
      </c>
      <c r="BT294" s="8">
        <v>1678</v>
      </c>
      <c r="BU294" s="8">
        <v>926</v>
      </c>
      <c r="BV294" s="8">
        <v>1402</v>
      </c>
      <c r="BW294" s="8">
        <v>1855</v>
      </c>
      <c r="BX294" s="8">
        <v>1893</v>
      </c>
      <c r="BY294" s="8">
        <v>2193</v>
      </c>
      <c r="BZ294" s="8">
        <v>2419</v>
      </c>
      <c r="CA294" s="8">
        <v>452</v>
      </c>
      <c r="CB294" s="8">
        <v>949</v>
      </c>
      <c r="CC294" s="8">
        <v>1092</v>
      </c>
      <c r="CD294" s="8">
        <v>975</v>
      </c>
      <c r="CE294" s="8">
        <v>1010</v>
      </c>
      <c r="CF294" s="8">
        <v>1847</v>
      </c>
      <c r="CG294" s="8">
        <v>1827</v>
      </c>
      <c r="CH294" s="8">
        <v>1194</v>
      </c>
      <c r="CJ294" s="9"/>
      <c r="CK294" s="9"/>
      <c r="CL294" s="9"/>
      <c r="CM294" s="9"/>
      <c r="CN294" s="9"/>
      <c r="CO294" s="9"/>
      <c r="CP294" s="9"/>
      <c r="CQ294" s="9"/>
      <c r="CR294" s="9"/>
      <c r="CS294" s="9"/>
      <c r="CT294" s="9"/>
      <c r="CU294" s="9"/>
      <c r="CV294" s="9"/>
      <c r="CW294" s="9"/>
      <c r="CX294" s="9"/>
      <c r="CY294" s="9"/>
      <c r="CZ294" s="9"/>
      <c r="DA294" s="9"/>
      <c r="DB294" s="9"/>
      <c r="DC294" s="9"/>
      <c r="DD294" s="9"/>
      <c r="DE294" s="9"/>
      <c r="DF294" s="9"/>
      <c r="DG294" s="9"/>
      <c r="DH294" s="9"/>
      <c r="DI294" s="9"/>
      <c r="DJ294" s="9"/>
      <c r="DK294" s="9"/>
      <c r="DL294" s="9"/>
      <c r="DM294" s="9"/>
      <c r="DN294" s="9"/>
      <c r="DO294" s="9"/>
      <c r="DP294" s="9"/>
      <c r="DQ294" s="9"/>
      <c r="DR294" s="9"/>
      <c r="DS294" s="9"/>
      <c r="DT294" s="9"/>
      <c r="DU294" s="9"/>
      <c r="DV294" s="9"/>
      <c r="DW294" s="9"/>
      <c r="DX294" s="9"/>
      <c r="DY294" s="9"/>
      <c r="DZ294" s="9"/>
      <c r="EA294" s="9"/>
      <c r="EB294" s="9"/>
      <c r="EC294" s="9"/>
      <c r="ED294" s="9"/>
      <c r="EE294" s="9"/>
      <c r="EF294" s="9"/>
      <c r="EG294" s="9"/>
      <c r="EH294" s="9"/>
      <c r="EI294" s="9"/>
      <c r="EJ294" s="9"/>
      <c r="EK294" s="9"/>
      <c r="EL294" s="9"/>
      <c r="EM294" s="9"/>
      <c r="EN294" s="9"/>
      <c r="EO294" s="9"/>
      <c r="EP294" s="9"/>
      <c r="EQ294" s="9"/>
      <c r="ER294" s="9"/>
      <c r="ES294" s="9"/>
      <c r="ET294" s="9"/>
      <c r="EU294" s="9"/>
      <c r="EV294" s="9"/>
      <c r="EW294" s="9"/>
      <c r="EX294" s="9"/>
      <c r="EY294" s="9"/>
      <c r="EZ294" s="9"/>
      <c r="FA294" s="9"/>
      <c r="FB294" s="9"/>
      <c r="FC294" s="9"/>
      <c r="FD294" s="9"/>
      <c r="FE294" s="9"/>
      <c r="FF294" s="9"/>
      <c r="FG294" s="9"/>
      <c r="FH294" s="9"/>
      <c r="FI294" s="9"/>
    </row>
    <row r="295" spans="1:165" x14ac:dyDescent="0.2">
      <c r="A295" s="1" t="s">
        <v>1017</v>
      </c>
      <c r="B295" s="1" t="s">
        <v>1018</v>
      </c>
      <c r="C295" s="1" t="s">
        <v>809</v>
      </c>
      <c r="D295" s="1" t="str">
        <f>HYPERLINK("http://eros.fiehnlab.ucdavis.edu:8080/binbase-compound/bin/show/269331?db=rtx5","269331")</f>
        <v>269331</v>
      </c>
      <c r="E295" s="1" t="s">
        <v>1019</v>
      </c>
      <c r="F295" s="1" t="s">
        <v>184</v>
      </c>
      <c r="G295" s="1" t="s">
        <v>184</v>
      </c>
      <c r="H295" s="1"/>
      <c r="I295" s="8">
        <v>542</v>
      </c>
      <c r="J295" s="8">
        <v>776</v>
      </c>
      <c r="K295" s="8">
        <v>617</v>
      </c>
      <c r="L295" s="8">
        <v>758</v>
      </c>
      <c r="M295" s="8">
        <v>723</v>
      </c>
      <c r="N295" s="8">
        <v>516</v>
      </c>
      <c r="O295" s="8">
        <v>1015</v>
      </c>
      <c r="P295" s="8">
        <v>659</v>
      </c>
      <c r="Q295" s="8">
        <v>672</v>
      </c>
      <c r="R295" s="8">
        <v>293</v>
      </c>
      <c r="S295" s="8">
        <v>725</v>
      </c>
      <c r="T295" s="8">
        <v>759</v>
      </c>
      <c r="U295" s="8">
        <v>845</v>
      </c>
      <c r="V295" s="8">
        <v>722</v>
      </c>
      <c r="W295" s="8">
        <v>583</v>
      </c>
      <c r="X295" s="8">
        <v>566</v>
      </c>
      <c r="Y295" s="8">
        <v>740</v>
      </c>
      <c r="Z295" s="8">
        <v>645</v>
      </c>
      <c r="AA295" s="8">
        <v>380</v>
      </c>
      <c r="AB295" s="8">
        <v>939</v>
      </c>
      <c r="AC295" s="8">
        <v>796</v>
      </c>
      <c r="AD295" s="8">
        <v>758</v>
      </c>
      <c r="AE295" s="8">
        <v>577</v>
      </c>
      <c r="AF295" s="8">
        <v>466</v>
      </c>
      <c r="AG295" s="8">
        <v>396</v>
      </c>
      <c r="AH295" s="8">
        <v>755</v>
      </c>
      <c r="AI295" s="8">
        <v>1599</v>
      </c>
      <c r="AJ295" s="8">
        <v>715</v>
      </c>
      <c r="AK295" s="8">
        <v>317</v>
      </c>
      <c r="AL295" s="8">
        <v>741</v>
      </c>
      <c r="AM295" s="8">
        <v>1048</v>
      </c>
      <c r="AN295" s="8">
        <v>786</v>
      </c>
      <c r="AO295" s="8">
        <v>1319</v>
      </c>
      <c r="AP295" s="8">
        <v>759</v>
      </c>
      <c r="AQ295" s="8">
        <v>655</v>
      </c>
      <c r="AR295" s="8">
        <v>644</v>
      </c>
      <c r="AS295" s="8">
        <v>676</v>
      </c>
      <c r="AT295" s="8">
        <v>854</v>
      </c>
      <c r="AU295" s="8">
        <v>785</v>
      </c>
      <c r="AV295" s="8">
        <v>1279</v>
      </c>
      <c r="AW295" s="8">
        <v>855</v>
      </c>
      <c r="AX295" s="8">
        <v>771</v>
      </c>
      <c r="AY295" s="8">
        <v>727</v>
      </c>
      <c r="AZ295" s="8">
        <v>628</v>
      </c>
      <c r="BA295" s="8">
        <v>747</v>
      </c>
      <c r="BB295" s="8">
        <v>623</v>
      </c>
      <c r="BC295" s="8">
        <v>593</v>
      </c>
      <c r="BD295" s="8">
        <v>765</v>
      </c>
      <c r="BE295" s="8">
        <v>596</v>
      </c>
      <c r="BF295" s="8">
        <v>1106</v>
      </c>
      <c r="BG295" s="8">
        <v>708</v>
      </c>
      <c r="BH295" s="8">
        <v>492</v>
      </c>
      <c r="BI295" s="8">
        <v>621</v>
      </c>
      <c r="BJ295" s="8">
        <v>573</v>
      </c>
      <c r="BK295" s="8">
        <v>833</v>
      </c>
      <c r="BL295" s="8">
        <v>498</v>
      </c>
      <c r="BM295" s="8">
        <v>644</v>
      </c>
      <c r="BN295" s="8">
        <v>477</v>
      </c>
      <c r="BO295" s="8">
        <v>640</v>
      </c>
      <c r="BP295" s="8">
        <v>323</v>
      </c>
      <c r="BQ295" s="8">
        <v>686</v>
      </c>
      <c r="BR295" s="8">
        <v>895</v>
      </c>
      <c r="BS295" s="8">
        <v>562</v>
      </c>
      <c r="BT295" s="8">
        <v>833</v>
      </c>
      <c r="BU295" s="8">
        <v>695</v>
      </c>
      <c r="BV295" s="8">
        <v>776</v>
      </c>
      <c r="BW295" s="8">
        <v>1044</v>
      </c>
      <c r="BX295" s="8">
        <v>599</v>
      </c>
      <c r="BY295" s="8">
        <v>617</v>
      </c>
      <c r="BZ295" s="8">
        <v>531</v>
      </c>
      <c r="CA295" s="8">
        <v>626</v>
      </c>
      <c r="CB295" s="8">
        <v>389</v>
      </c>
      <c r="CC295" s="8">
        <v>938</v>
      </c>
      <c r="CD295" s="8">
        <v>639</v>
      </c>
      <c r="CE295" s="8">
        <v>616</v>
      </c>
      <c r="CF295" s="8">
        <v>572</v>
      </c>
      <c r="CG295" s="8">
        <v>610</v>
      </c>
      <c r="CH295" s="8">
        <v>726</v>
      </c>
      <c r="CJ295" s="9"/>
      <c r="CK295" s="9"/>
      <c r="CL295" s="9"/>
      <c r="CM295" s="9"/>
      <c r="CN295" s="9"/>
      <c r="CO295" s="9"/>
      <c r="CP295" s="9"/>
      <c r="CQ295" s="9"/>
      <c r="CR295" s="9"/>
      <c r="CS295" s="9"/>
      <c r="CT295" s="9"/>
      <c r="CU295" s="9"/>
      <c r="CV295" s="9"/>
      <c r="CW295" s="9"/>
      <c r="CX295" s="9"/>
      <c r="CY295" s="9"/>
      <c r="CZ295" s="9"/>
      <c r="DA295" s="9"/>
      <c r="DB295" s="9"/>
      <c r="DC295" s="9"/>
      <c r="DD295" s="9"/>
      <c r="DE295" s="9"/>
      <c r="DF295" s="9"/>
      <c r="DG295" s="9"/>
      <c r="DH295" s="9"/>
      <c r="DI295" s="9"/>
      <c r="DJ295" s="9"/>
      <c r="DK295" s="9"/>
      <c r="DL295" s="9"/>
      <c r="DM295" s="9"/>
      <c r="DN295" s="9"/>
      <c r="DO295" s="9"/>
      <c r="DP295" s="9"/>
      <c r="DQ295" s="9"/>
      <c r="DR295" s="9"/>
      <c r="DS295" s="9"/>
      <c r="DT295" s="9"/>
      <c r="DU295" s="9"/>
      <c r="DV295" s="9"/>
      <c r="DW295" s="9"/>
      <c r="DX295" s="9"/>
      <c r="DY295" s="9"/>
      <c r="DZ295" s="9"/>
      <c r="EA295" s="9"/>
      <c r="EB295" s="9"/>
      <c r="EC295" s="9"/>
      <c r="ED295" s="9"/>
      <c r="EE295" s="9"/>
      <c r="EF295" s="9"/>
      <c r="EG295" s="9"/>
      <c r="EH295" s="9"/>
      <c r="EI295" s="9"/>
      <c r="EJ295" s="9"/>
      <c r="EK295" s="9"/>
      <c r="EL295" s="9"/>
      <c r="EM295" s="9"/>
      <c r="EN295" s="9"/>
      <c r="EO295" s="9"/>
      <c r="EP295" s="9"/>
      <c r="EQ295" s="9"/>
      <c r="ER295" s="9"/>
      <c r="ES295" s="9"/>
      <c r="ET295" s="9"/>
      <c r="EU295" s="9"/>
      <c r="EV295" s="9"/>
      <c r="EW295" s="9"/>
      <c r="EX295" s="9"/>
      <c r="EY295" s="9"/>
      <c r="EZ295" s="9"/>
      <c r="FA295" s="9"/>
      <c r="FB295" s="9"/>
      <c r="FC295" s="9"/>
      <c r="FD295" s="9"/>
      <c r="FE295" s="9"/>
      <c r="FF295" s="9"/>
      <c r="FG295" s="9"/>
      <c r="FH295" s="9"/>
      <c r="FI295" s="9"/>
    </row>
    <row r="296" spans="1:165" x14ac:dyDescent="0.2">
      <c r="A296" s="1" t="s">
        <v>875</v>
      </c>
      <c r="B296" s="1" t="s">
        <v>876</v>
      </c>
      <c r="C296" s="1" t="s">
        <v>427</v>
      </c>
      <c r="D296" s="1" t="str">
        <f>HYPERLINK("http://eros.fiehnlab.ucdavis.edu:8080/binbase-compound/bin/show/309631?db=rtx5","309631")</f>
        <v>309631</v>
      </c>
      <c r="E296" s="1" t="s">
        <v>877</v>
      </c>
      <c r="F296" s="1" t="s">
        <v>184</v>
      </c>
      <c r="G296" s="1" t="s">
        <v>184</v>
      </c>
      <c r="H296" s="1"/>
      <c r="I296" s="8">
        <v>4255</v>
      </c>
      <c r="J296" s="8">
        <v>1699</v>
      </c>
      <c r="K296" s="8">
        <v>1538</v>
      </c>
      <c r="L296" s="8">
        <v>1790</v>
      </c>
      <c r="M296" s="8">
        <v>1957</v>
      </c>
      <c r="N296" s="8">
        <v>2324</v>
      </c>
      <c r="O296" s="8">
        <v>1867</v>
      </c>
      <c r="P296" s="8">
        <v>2338</v>
      </c>
      <c r="Q296" s="8">
        <v>2001</v>
      </c>
      <c r="R296" s="8">
        <v>2402</v>
      </c>
      <c r="S296" s="8">
        <v>2183</v>
      </c>
      <c r="T296" s="8">
        <v>2602</v>
      </c>
      <c r="U296" s="8">
        <v>3228</v>
      </c>
      <c r="V296" s="8">
        <v>3418</v>
      </c>
      <c r="W296" s="8">
        <v>966</v>
      </c>
      <c r="X296" s="8">
        <v>2579</v>
      </c>
      <c r="Y296" s="8">
        <v>2069</v>
      </c>
      <c r="Z296" s="8">
        <v>1483</v>
      </c>
      <c r="AA296" s="8">
        <v>1248</v>
      </c>
      <c r="AB296" s="8">
        <v>3204</v>
      </c>
      <c r="AC296" s="8">
        <v>1613</v>
      </c>
      <c r="AD296" s="8">
        <v>1954</v>
      </c>
      <c r="AE296" s="8">
        <v>2619</v>
      </c>
      <c r="AF296" s="8">
        <v>2533</v>
      </c>
      <c r="AG296" s="8">
        <v>502</v>
      </c>
      <c r="AH296" s="8">
        <v>3058</v>
      </c>
      <c r="AI296" s="8">
        <v>1275</v>
      </c>
      <c r="AJ296" s="8">
        <v>648</v>
      </c>
      <c r="AK296" s="8">
        <v>2139</v>
      </c>
      <c r="AL296" s="8">
        <v>1410</v>
      </c>
      <c r="AM296" s="8">
        <v>5296</v>
      </c>
      <c r="AN296" s="8">
        <v>2310</v>
      </c>
      <c r="AO296" s="8">
        <v>2469</v>
      </c>
      <c r="AP296" s="8">
        <v>953</v>
      </c>
      <c r="AQ296" s="8">
        <v>2885</v>
      </c>
      <c r="AR296" s="8">
        <v>2436</v>
      </c>
      <c r="AS296" s="8">
        <v>2013</v>
      </c>
      <c r="AT296" s="8">
        <v>1965</v>
      </c>
      <c r="AU296" s="8">
        <v>2434</v>
      </c>
      <c r="AV296" s="8">
        <v>3263</v>
      </c>
      <c r="AW296" s="8">
        <v>2681</v>
      </c>
      <c r="AX296" s="8">
        <v>3251</v>
      </c>
      <c r="AY296" s="8">
        <v>2052</v>
      </c>
      <c r="AZ296" s="8">
        <v>2416</v>
      </c>
      <c r="BA296" s="8">
        <v>4974</v>
      </c>
      <c r="BB296" s="8">
        <v>3690</v>
      </c>
      <c r="BC296" s="8">
        <v>3679</v>
      </c>
      <c r="BD296" s="8">
        <v>914</v>
      </c>
      <c r="BE296" s="8">
        <v>1871</v>
      </c>
      <c r="BF296" s="8">
        <v>2386</v>
      </c>
      <c r="BG296" s="8">
        <v>2419</v>
      </c>
      <c r="BH296" s="8">
        <v>494</v>
      </c>
      <c r="BI296" s="8">
        <v>3324</v>
      </c>
      <c r="BJ296" s="8">
        <v>2501</v>
      </c>
      <c r="BK296" s="8">
        <v>3963</v>
      </c>
      <c r="BL296" s="8">
        <v>3837</v>
      </c>
      <c r="BM296" s="8">
        <v>3133</v>
      </c>
      <c r="BN296" s="8">
        <v>2259</v>
      </c>
      <c r="BO296" s="8">
        <v>2698</v>
      </c>
      <c r="BP296" s="8">
        <v>3084</v>
      </c>
      <c r="BQ296" s="8">
        <v>3138</v>
      </c>
      <c r="BR296" s="8">
        <v>3977</v>
      </c>
      <c r="BS296" s="8">
        <v>3923</v>
      </c>
      <c r="BT296" s="8">
        <v>2034</v>
      </c>
      <c r="BU296" s="8">
        <v>2004</v>
      </c>
      <c r="BV296" s="8">
        <v>2585</v>
      </c>
      <c r="BW296" s="8">
        <v>2465</v>
      </c>
      <c r="BX296" s="8">
        <v>1645</v>
      </c>
      <c r="BY296" s="8">
        <v>3309</v>
      </c>
      <c r="BZ296" s="8">
        <v>3497</v>
      </c>
      <c r="CA296" s="8">
        <v>3703</v>
      </c>
      <c r="CB296" s="8">
        <v>2528</v>
      </c>
      <c r="CC296" s="8">
        <v>3178</v>
      </c>
      <c r="CD296" s="8">
        <v>1832</v>
      </c>
      <c r="CE296" s="8">
        <v>2746</v>
      </c>
      <c r="CF296" s="8">
        <v>1835</v>
      </c>
      <c r="CG296" s="8">
        <v>3733</v>
      </c>
      <c r="CH296" s="8">
        <v>2305</v>
      </c>
      <c r="CJ296" s="9"/>
      <c r="CK296" s="9"/>
      <c r="CL296" s="9"/>
      <c r="CM296" s="9"/>
      <c r="CN296" s="9"/>
      <c r="CO296" s="9"/>
      <c r="CP296" s="9"/>
      <c r="CQ296" s="9"/>
      <c r="CR296" s="9"/>
      <c r="CS296" s="9"/>
      <c r="CT296" s="9"/>
      <c r="CU296" s="9"/>
      <c r="CV296" s="9"/>
      <c r="CW296" s="9"/>
      <c r="CX296" s="9"/>
      <c r="CY296" s="9"/>
      <c r="CZ296" s="9"/>
      <c r="DA296" s="9"/>
      <c r="DB296" s="9"/>
      <c r="DC296" s="9"/>
      <c r="DD296" s="9"/>
      <c r="DE296" s="9"/>
      <c r="DF296" s="9"/>
      <c r="DG296" s="9"/>
      <c r="DH296" s="9"/>
      <c r="DI296" s="9"/>
      <c r="DJ296" s="9"/>
      <c r="DK296" s="9"/>
      <c r="DL296" s="9"/>
      <c r="DM296" s="9"/>
      <c r="DN296" s="9"/>
      <c r="DO296" s="9"/>
      <c r="DP296" s="9"/>
      <c r="DQ296" s="9"/>
      <c r="DR296" s="9"/>
      <c r="DS296" s="9"/>
      <c r="DT296" s="9"/>
      <c r="DU296" s="9"/>
      <c r="DV296" s="9"/>
      <c r="DW296" s="9"/>
      <c r="DX296" s="9"/>
      <c r="DY296" s="9"/>
      <c r="DZ296" s="9"/>
      <c r="EA296" s="9"/>
      <c r="EB296" s="9"/>
      <c r="EC296" s="9"/>
      <c r="ED296" s="9"/>
      <c r="EE296" s="9"/>
      <c r="EF296" s="9"/>
      <c r="EG296" s="9"/>
      <c r="EH296" s="9"/>
      <c r="EI296" s="9"/>
      <c r="EJ296" s="9"/>
      <c r="EK296" s="9"/>
      <c r="EL296" s="9"/>
      <c r="EM296" s="9"/>
      <c r="EN296" s="9"/>
      <c r="EO296" s="9"/>
      <c r="EP296" s="9"/>
      <c r="EQ296" s="9"/>
      <c r="ER296" s="9"/>
      <c r="ES296" s="9"/>
      <c r="ET296" s="9"/>
      <c r="EU296" s="9"/>
      <c r="EV296" s="9"/>
      <c r="EW296" s="9"/>
      <c r="EX296" s="9"/>
      <c r="EY296" s="9"/>
      <c r="EZ296" s="9"/>
      <c r="FA296" s="9"/>
      <c r="FB296" s="9"/>
      <c r="FC296" s="9"/>
      <c r="FD296" s="9"/>
      <c r="FE296" s="9"/>
      <c r="FF296" s="9"/>
      <c r="FG296" s="9"/>
      <c r="FH296" s="9"/>
      <c r="FI296" s="9"/>
    </row>
    <row r="297" spans="1:165" x14ac:dyDescent="0.2">
      <c r="A297" s="1" t="s">
        <v>1251</v>
      </c>
      <c r="B297" s="1" t="s">
        <v>1252</v>
      </c>
      <c r="C297" s="1" t="s">
        <v>1061</v>
      </c>
      <c r="D297" s="1" t="str">
        <f>HYPERLINK("http://eros.fiehnlab.ucdavis.edu:8080/binbase-compound/bin/show/218550?db=rtx5","218550")</f>
        <v>218550</v>
      </c>
      <c r="E297" s="1" t="s">
        <v>1253</v>
      </c>
      <c r="F297" s="1" t="s">
        <v>184</v>
      </c>
      <c r="G297" s="1" t="s">
        <v>184</v>
      </c>
      <c r="H297" s="1"/>
      <c r="I297" s="8">
        <v>576</v>
      </c>
      <c r="J297" s="8">
        <v>587</v>
      </c>
      <c r="K297" s="8">
        <v>332</v>
      </c>
      <c r="L297" s="8">
        <v>315</v>
      </c>
      <c r="M297" s="8">
        <v>447</v>
      </c>
      <c r="N297" s="8">
        <v>353</v>
      </c>
      <c r="O297" s="8">
        <v>311</v>
      </c>
      <c r="P297" s="8">
        <v>335</v>
      </c>
      <c r="Q297" s="8">
        <v>438</v>
      </c>
      <c r="R297" s="8">
        <v>370</v>
      </c>
      <c r="S297" s="8">
        <v>479</v>
      </c>
      <c r="T297" s="8">
        <v>365</v>
      </c>
      <c r="U297" s="8">
        <v>454</v>
      </c>
      <c r="V297" s="8">
        <v>247</v>
      </c>
      <c r="W297" s="8">
        <v>444</v>
      </c>
      <c r="X297" s="8">
        <v>138</v>
      </c>
      <c r="Y297" s="8">
        <v>330</v>
      </c>
      <c r="Z297" s="8">
        <v>339</v>
      </c>
      <c r="AA297" s="8">
        <v>170</v>
      </c>
      <c r="AB297" s="8">
        <v>389</v>
      </c>
      <c r="AC297" s="8">
        <v>294</v>
      </c>
      <c r="AD297" s="8">
        <v>294</v>
      </c>
      <c r="AE297" s="8">
        <v>394</v>
      </c>
      <c r="AF297" s="8">
        <v>394</v>
      </c>
      <c r="AG297" s="8">
        <v>97</v>
      </c>
      <c r="AH297" s="8">
        <v>399</v>
      </c>
      <c r="AI297" s="8">
        <v>189</v>
      </c>
      <c r="AJ297" s="8">
        <v>467</v>
      </c>
      <c r="AK297" s="8">
        <v>315</v>
      </c>
      <c r="AL297" s="8">
        <v>381</v>
      </c>
      <c r="AM297" s="8">
        <v>625</v>
      </c>
      <c r="AN297" s="8">
        <v>364</v>
      </c>
      <c r="AO297" s="8">
        <v>372</v>
      </c>
      <c r="AP297" s="8">
        <v>453</v>
      </c>
      <c r="AQ297" s="8">
        <v>329</v>
      </c>
      <c r="AR297" s="8">
        <v>420</v>
      </c>
      <c r="AS297" s="8">
        <v>299</v>
      </c>
      <c r="AT297" s="8">
        <v>286</v>
      </c>
      <c r="AU297" s="8">
        <v>416</v>
      </c>
      <c r="AV297" s="8">
        <v>90</v>
      </c>
      <c r="AW297" s="8">
        <v>431</v>
      </c>
      <c r="AX297" s="8">
        <v>467</v>
      </c>
      <c r="AY297" s="8">
        <v>292</v>
      </c>
      <c r="AZ297" s="8">
        <v>342</v>
      </c>
      <c r="BA297" s="8">
        <v>469</v>
      </c>
      <c r="BB297" s="8">
        <v>631</v>
      </c>
      <c r="BC297" s="8">
        <v>547</v>
      </c>
      <c r="BD297" s="8">
        <v>390</v>
      </c>
      <c r="BE297" s="8">
        <v>342</v>
      </c>
      <c r="BF297" s="8">
        <v>249</v>
      </c>
      <c r="BG297" s="8">
        <v>412</v>
      </c>
      <c r="BH297" s="8">
        <v>306</v>
      </c>
      <c r="BI297" s="8">
        <v>362</v>
      </c>
      <c r="BJ297" s="8">
        <v>354</v>
      </c>
      <c r="BK297" s="8">
        <v>394</v>
      </c>
      <c r="BL297" s="8">
        <v>634</v>
      </c>
      <c r="BM297" s="8">
        <v>489</v>
      </c>
      <c r="BN297" s="8">
        <v>30</v>
      </c>
      <c r="BO297" s="8">
        <v>537</v>
      </c>
      <c r="BP297" s="8">
        <v>382</v>
      </c>
      <c r="BQ297" s="8">
        <v>438</v>
      </c>
      <c r="BR297" s="8">
        <v>569</v>
      </c>
      <c r="BS297" s="8">
        <v>483</v>
      </c>
      <c r="BT297" s="8">
        <v>371</v>
      </c>
      <c r="BU297" s="8">
        <v>318</v>
      </c>
      <c r="BV297" s="8">
        <v>337</v>
      </c>
      <c r="BW297" s="8">
        <v>416</v>
      </c>
      <c r="BX297" s="8">
        <v>284</v>
      </c>
      <c r="BY297" s="8">
        <v>208</v>
      </c>
      <c r="BZ297" s="8">
        <v>529</v>
      </c>
      <c r="CA297" s="8">
        <v>521</v>
      </c>
      <c r="CB297" s="8">
        <v>354</v>
      </c>
      <c r="CC297" s="8">
        <v>326</v>
      </c>
      <c r="CD297" s="8">
        <v>245</v>
      </c>
      <c r="CE297" s="8">
        <v>334</v>
      </c>
      <c r="CF297" s="8">
        <v>251</v>
      </c>
      <c r="CG297" s="8">
        <v>112</v>
      </c>
      <c r="CH297" s="8">
        <v>321</v>
      </c>
      <c r="CJ297" s="9"/>
      <c r="CK297" s="9"/>
      <c r="CL297" s="9"/>
      <c r="CM297" s="9"/>
      <c r="CN297" s="9"/>
      <c r="CO297" s="9"/>
      <c r="CP297" s="9"/>
      <c r="CQ297" s="9"/>
      <c r="CR297" s="9"/>
      <c r="CS297" s="9"/>
      <c r="CT297" s="9"/>
      <c r="CU297" s="9"/>
      <c r="CV297" s="9"/>
      <c r="CW297" s="9"/>
      <c r="CX297" s="9"/>
      <c r="CY297" s="9"/>
      <c r="CZ297" s="9"/>
      <c r="DA297" s="9"/>
      <c r="DB297" s="9"/>
      <c r="DC297" s="9"/>
      <c r="DD297" s="9"/>
      <c r="DE297" s="9"/>
      <c r="DF297" s="9"/>
      <c r="DG297" s="9"/>
      <c r="DH297" s="9"/>
      <c r="DI297" s="9"/>
      <c r="DJ297" s="9"/>
      <c r="DK297" s="9"/>
      <c r="DL297" s="9"/>
      <c r="DM297" s="9"/>
      <c r="DN297" s="9"/>
      <c r="DO297" s="9"/>
      <c r="DP297" s="9"/>
      <c r="DQ297" s="9"/>
      <c r="DR297" s="9"/>
      <c r="DS297" s="9"/>
      <c r="DT297" s="9"/>
      <c r="DU297" s="9"/>
      <c r="DV297" s="9"/>
      <c r="DW297" s="9"/>
      <c r="DX297" s="9"/>
      <c r="DY297" s="9"/>
      <c r="DZ297" s="9"/>
      <c r="EA297" s="9"/>
      <c r="EB297" s="9"/>
      <c r="EC297" s="9"/>
      <c r="ED297" s="9"/>
      <c r="EE297" s="9"/>
      <c r="EF297" s="9"/>
      <c r="EG297" s="9"/>
      <c r="EH297" s="9"/>
      <c r="EI297" s="9"/>
      <c r="EJ297" s="9"/>
      <c r="EK297" s="9"/>
      <c r="EL297" s="9"/>
      <c r="EM297" s="9"/>
      <c r="EN297" s="9"/>
      <c r="EO297" s="9"/>
      <c r="EP297" s="9"/>
      <c r="EQ297" s="9"/>
      <c r="ER297" s="9"/>
      <c r="ES297" s="9"/>
      <c r="ET297" s="9"/>
      <c r="EU297" s="9"/>
      <c r="EV297" s="9"/>
      <c r="EW297" s="9"/>
      <c r="EX297" s="9"/>
      <c r="EY297" s="9"/>
      <c r="EZ297" s="9"/>
      <c r="FA297" s="9"/>
      <c r="FB297" s="9"/>
      <c r="FC297" s="9"/>
      <c r="FD297" s="9"/>
      <c r="FE297" s="9"/>
      <c r="FF297" s="9"/>
      <c r="FG297" s="9"/>
      <c r="FH297" s="9"/>
      <c r="FI297" s="9"/>
    </row>
    <row r="298" spans="1:165" x14ac:dyDescent="0.2">
      <c r="A298" s="1" t="s">
        <v>1120</v>
      </c>
      <c r="B298" s="1" t="s">
        <v>1121</v>
      </c>
      <c r="C298" s="1" t="s">
        <v>684</v>
      </c>
      <c r="D298" s="1" t="str">
        <f>HYPERLINK("http://eros.fiehnlab.ucdavis.edu:8080/binbase-compound/bin/show/229201?db=rtx5","229201")</f>
        <v>229201</v>
      </c>
      <c r="E298" s="1" t="s">
        <v>1122</v>
      </c>
      <c r="F298" s="1" t="s">
        <v>184</v>
      </c>
      <c r="G298" s="1" t="s">
        <v>184</v>
      </c>
      <c r="H298" s="1"/>
      <c r="I298" s="8">
        <v>50105</v>
      </c>
      <c r="J298" s="8">
        <v>48672</v>
      </c>
      <c r="K298" s="8">
        <v>56659</v>
      </c>
      <c r="L298" s="8">
        <v>46783</v>
      </c>
      <c r="M298" s="8">
        <v>61256</v>
      </c>
      <c r="N298" s="8">
        <v>50346</v>
      </c>
      <c r="O298" s="8">
        <v>156</v>
      </c>
      <c r="P298" s="8">
        <v>202</v>
      </c>
      <c r="Q298" s="8">
        <v>152</v>
      </c>
      <c r="R298" s="8">
        <v>150</v>
      </c>
      <c r="S298" s="8">
        <v>244</v>
      </c>
      <c r="T298" s="8">
        <v>214</v>
      </c>
      <c r="U298" s="8">
        <v>145</v>
      </c>
      <c r="V298" s="8">
        <v>98</v>
      </c>
      <c r="W298" s="8">
        <v>155</v>
      </c>
      <c r="X298" s="8">
        <v>156</v>
      </c>
      <c r="Y298" s="8">
        <v>116</v>
      </c>
      <c r="Z298" s="8">
        <v>115</v>
      </c>
      <c r="AA298" s="8">
        <v>120</v>
      </c>
      <c r="AB298" s="8">
        <v>172</v>
      </c>
      <c r="AC298" s="8">
        <v>205</v>
      </c>
      <c r="AD298" s="8">
        <v>197</v>
      </c>
      <c r="AE298" s="8">
        <v>216</v>
      </c>
      <c r="AF298" s="8">
        <v>178</v>
      </c>
      <c r="AG298" s="8">
        <v>117</v>
      </c>
      <c r="AH298" s="8">
        <v>112</v>
      </c>
      <c r="AI298" s="8">
        <v>121</v>
      </c>
      <c r="AJ298" s="8">
        <v>126</v>
      </c>
      <c r="AK298" s="8">
        <v>107</v>
      </c>
      <c r="AL298" s="8">
        <v>241</v>
      </c>
      <c r="AM298" s="8">
        <v>248</v>
      </c>
      <c r="AN298" s="8">
        <v>459</v>
      </c>
      <c r="AO298" s="8">
        <v>243</v>
      </c>
      <c r="AP298" s="8">
        <v>163</v>
      </c>
      <c r="AQ298" s="8">
        <v>622</v>
      </c>
      <c r="AR298" s="8">
        <v>186</v>
      </c>
      <c r="AS298" s="8">
        <v>116</v>
      </c>
      <c r="AT298" s="8">
        <v>163</v>
      </c>
      <c r="AU298" s="8">
        <v>227</v>
      </c>
      <c r="AV298" s="8">
        <v>144</v>
      </c>
      <c r="AW298" s="8">
        <v>140</v>
      </c>
      <c r="AX298" s="8">
        <v>131</v>
      </c>
      <c r="AY298" s="8">
        <v>126</v>
      </c>
      <c r="AZ298" s="8">
        <v>146</v>
      </c>
      <c r="BA298" s="8">
        <v>164</v>
      </c>
      <c r="BB298" s="8">
        <v>132</v>
      </c>
      <c r="BC298" s="8">
        <v>138</v>
      </c>
      <c r="BD298" s="8">
        <v>114</v>
      </c>
      <c r="BE298" s="8">
        <v>135</v>
      </c>
      <c r="BF298" s="8">
        <v>134</v>
      </c>
      <c r="BG298" s="8">
        <v>140</v>
      </c>
      <c r="BH298" s="8">
        <v>82</v>
      </c>
      <c r="BI298" s="8">
        <v>150</v>
      </c>
      <c r="BJ298" s="8">
        <v>160</v>
      </c>
      <c r="BK298" s="8">
        <v>152</v>
      </c>
      <c r="BL298" s="8">
        <v>263</v>
      </c>
      <c r="BM298" s="8">
        <v>233</v>
      </c>
      <c r="BN298" s="8">
        <v>134</v>
      </c>
      <c r="BO298" s="8">
        <v>251</v>
      </c>
      <c r="BP298" s="8">
        <v>229</v>
      </c>
      <c r="BQ298" s="8">
        <v>146</v>
      </c>
      <c r="BR298" s="8">
        <v>145</v>
      </c>
      <c r="BS298" s="8">
        <v>129</v>
      </c>
      <c r="BT298" s="8">
        <v>180</v>
      </c>
      <c r="BU298" s="8">
        <v>141</v>
      </c>
      <c r="BV298" s="8">
        <v>143</v>
      </c>
      <c r="BW298" s="8">
        <v>187</v>
      </c>
      <c r="BX298" s="8">
        <v>248</v>
      </c>
      <c r="BY298" s="8">
        <v>159</v>
      </c>
      <c r="BZ298" s="8">
        <v>201</v>
      </c>
      <c r="CA298" s="8">
        <v>198</v>
      </c>
      <c r="CB298" s="8">
        <v>179</v>
      </c>
      <c r="CC298" s="8">
        <v>110</v>
      </c>
      <c r="CD298" s="8">
        <v>97</v>
      </c>
      <c r="CE298" s="8">
        <v>121</v>
      </c>
      <c r="CF298" s="8">
        <v>134</v>
      </c>
      <c r="CG298" s="8">
        <v>157</v>
      </c>
      <c r="CH298" s="8">
        <v>135</v>
      </c>
      <c r="CJ298" s="9"/>
      <c r="CK298" s="9"/>
      <c r="CL298" s="9"/>
      <c r="CM298" s="9"/>
      <c r="CN298" s="9"/>
      <c r="CO298" s="9"/>
      <c r="CP298" s="9"/>
      <c r="CQ298" s="9"/>
      <c r="CR298" s="9"/>
      <c r="CS298" s="9"/>
      <c r="CT298" s="9"/>
      <c r="CU298" s="9"/>
      <c r="CV298" s="9"/>
      <c r="CW298" s="9"/>
      <c r="CX298" s="9"/>
      <c r="CY298" s="9"/>
      <c r="CZ298" s="9"/>
      <c r="DA298" s="9"/>
      <c r="DB298" s="9"/>
      <c r="DC298" s="9"/>
      <c r="DD298" s="9"/>
      <c r="DE298" s="9"/>
      <c r="DF298" s="9"/>
      <c r="DG298" s="9"/>
      <c r="DH298" s="9"/>
      <c r="DI298" s="9"/>
      <c r="DJ298" s="9"/>
      <c r="DK298" s="9"/>
      <c r="DL298" s="9"/>
      <c r="DM298" s="9"/>
      <c r="DN298" s="9"/>
      <c r="DO298" s="9"/>
      <c r="DP298" s="9"/>
      <c r="DQ298" s="9"/>
      <c r="DR298" s="9"/>
      <c r="DS298" s="9"/>
      <c r="DT298" s="9"/>
      <c r="DU298" s="9"/>
      <c r="DV298" s="9"/>
      <c r="DW298" s="9"/>
      <c r="DX298" s="9"/>
      <c r="DY298" s="9"/>
      <c r="DZ298" s="9"/>
      <c r="EA298" s="9"/>
      <c r="EB298" s="9"/>
      <c r="EC298" s="9"/>
      <c r="ED298" s="9"/>
      <c r="EE298" s="9"/>
      <c r="EF298" s="9"/>
      <c r="EG298" s="9"/>
      <c r="EH298" s="9"/>
      <c r="EI298" s="9"/>
      <c r="EJ298" s="9"/>
      <c r="EK298" s="9"/>
      <c r="EL298" s="9"/>
      <c r="EM298" s="9"/>
      <c r="EN298" s="9"/>
      <c r="EO298" s="9"/>
      <c r="EP298" s="9"/>
      <c r="EQ298" s="9"/>
      <c r="ER298" s="9"/>
      <c r="ES298" s="9"/>
      <c r="ET298" s="9"/>
      <c r="EU298" s="9"/>
      <c r="EV298" s="9"/>
      <c r="EW298" s="9"/>
      <c r="EX298" s="9"/>
      <c r="EY298" s="9"/>
      <c r="EZ298" s="9"/>
      <c r="FA298" s="9"/>
      <c r="FB298" s="9"/>
      <c r="FC298" s="9"/>
      <c r="FD298" s="9"/>
      <c r="FE298" s="9"/>
      <c r="FF298" s="9"/>
      <c r="FG298" s="9"/>
      <c r="FH298" s="9"/>
      <c r="FI298" s="9"/>
    </row>
    <row r="299" spans="1:165" x14ac:dyDescent="0.2">
      <c r="A299" s="1" t="s">
        <v>676</v>
      </c>
      <c r="B299" s="1" t="s">
        <v>677</v>
      </c>
      <c r="C299" s="1" t="s">
        <v>617</v>
      </c>
      <c r="D299" s="1" t="str">
        <f>HYPERLINK("http://eros.fiehnlab.ucdavis.edu:8080/binbase-compound/bin/show/373743?db=rtx5","373743")</f>
        <v>373743</v>
      </c>
      <c r="E299" s="1" t="s">
        <v>678</v>
      </c>
      <c r="F299" s="1" t="s">
        <v>184</v>
      </c>
      <c r="G299" s="1" t="s">
        <v>184</v>
      </c>
      <c r="H299" s="1"/>
      <c r="I299" s="8">
        <v>691964</v>
      </c>
      <c r="J299" s="8">
        <v>571223</v>
      </c>
      <c r="K299" s="8">
        <v>578230</v>
      </c>
      <c r="L299" s="8">
        <v>547586</v>
      </c>
      <c r="M299" s="8">
        <v>627606</v>
      </c>
      <c r="N299" s="8">
        <v>580690</v>
      </c>
      <c r="O299" s="8">
        <v>258</v>
      </c>
      <c r="P299" s="8">
        <v>248</v>
      </c>
      <c r="Q299" s="8">
        <v>275</v>
      </c>
      <c r="R299" s="8">
        <v>233</v>
      </c>
      <c r="S299" s="8">
        <v>341</v>
      </c>
      <c r="T299" s="8">
        <v>415</v>
      </c>
      <c r="U299" s="8">
        <v>273</v>
      </c>
      <c r="V299" s="8">
        <v>240</v>
      </c>
      <c r="W299" s="8">
        <v>178</v>
      </c>
      <c r="X299" s="8">
        <v>254</v>
      </c>
      <c r="Y299" s="8">
        <v>233</v>
      </c>
      <c r="Z299" s="8">
        <v>284</v>
      </c>
      <c r="AA299" s="8">
        <v>167</v>
      </c>
      <c r="AB299" s="8">
        <v>245</v>
      </c>
      <c r="AC299" s="8">
        <v>201</v>
      </c>
      <c r="AD299" s="8">
        <v>247</v>
      </c>
      <c r="AE299" s="8">
        <v>196</v>
      </c>
      <c r="AF299" s="8">
        <v>214</v>
      </c>
      <c r="AG299" s="8">
        <v>169</v>
      </c>
      <c r="AH299" s="8">
        <v>231</v>
      </c>
      <c r="AI299" s="8">
        <v>252</v>
      </c>
      <c r="AJ299" s="8">
        <v>290</v>
      </c>
      <c r="AK299" s="8">
        <v>181</v>
      </c>
      <c r="AL299" s="8">
        <v>277</v>
      </c>
      <c r="AM299" s="8">
        <v>314</v>
      </c>
      <c r="AN299" s="8">
        <v>2573</v>
      </c>
      <c r="AO299" s="8">
        <v>368</v>
      </c>
      <c r="AP299" s="8">
        <v>318</v>
      </c>
      <c r="AQ299" s="8">
        <v>2167</v>
      </c>
      <c r="AR299" s="8">
        <v>231</v>
      </c>
      <c r="AS299" s="8">
        <v>230</v>
      </c>
      <c r="AT299" s="8">
        <v>234</v>
      </c>
      <c r="AU299" s="8">
        <v>375</v>
      </c>
      <c r="AV299" s="8">
        <v>243</v>
      </c>
      <c r="AW299" s="8">
        <v>182</v>
      </c>
      <c r="AX299" s="8">
        <v>366</v>
      </c>
      <c r="AY299" s="8">
        <v>275</v>
      </c>
      <c r="AZ299" s="8">
        <v>254</v>
      </c>
      <c r="BA299" s="8">
        <v>268</v>
      </c>
      <c r="BB299" s="8">
        <v>261</v>
      </c>
      <c r="BC299" s="8">
        <v>272</v>
      </c>
      <c r="BD299" s="8">
        <v>267</v>
      </c>
      <c r="BE299" s="8">
        <v>222</v>
      </c>
      <c r="BF299" s="8">
        <v>266</v>
      </c>
      <c r="BG299" s="8">
        <v>212</v>
      </c>
      <c r="BH299" s="8">
        <v>246</v>
      </c>
      <c r="BI299" s="8">
        <v>187</v>
      </c>
      <c r="BJ299" s="8">
        <v>211</v>
      </c>
      <c r="BK299" s="8">
        <v>316</v>
      </c>
      <c r="BL299" s="8">
        <v>282</v>
      </c>
      <c r="BM299" s="8">
        <v>269</v>
      </c>
      <c r="BN299" s="8">
        <v>317</v>
      </c>
      <c r="BO299" s="8">
        <v>270</v>
      </c>
      <c r="BP299" s="8">
        <v>281</v>
      </c>
      <c r="BQ299" s="8">
        <v>304</v>
      </c>
      <c r="BR299" s="8">
        <v>239</v>
      </c>
      <c r="BS299" s="8">
        <v>325</v>
      </c>
      <c r="BT299" s="8">
        <v>270</v>
      </c>
      <c r="BU299" s="8">
        <v>219</v>
      </c>
      <c r="BV299" s="8">
        <v>267</v>
      </c>
      <c r="BW299" s="8">
        <v>268</v>
      </c>
      <c r="BX299" s="8">
        <v>271</v>
      </c>
      <c r="BY299" s="8">
        <v>240</v>
      </c>
      <c r="BZ299" s="8">
        <v>285</v>
      </c>
      <c r="CA299" s="8">
        <v>243</v>
      </c>
      <c r="CB299" s="8">
        <v>251</v>
      </c>
      <c r="CC299" s="8">
        <v>272</v>
      </c>
      <c r="CD299" s="8">
        <v>1293</v>
      </c>
      <c r="CE299" s="8">
        <v>276</v>
      </c>
      <c r="CF299" s="8">
        <v>211</v>
      </c>
      <c r="CG299" s="8">
        <v>253</v>
      </c>
      <c r="CH299" s="8">
        <v>247</v>
      </c>
      <c r="CJ299" s="9"/>
      <c r="CK299" s="9"/>
      <c r="CL299" s="9"/>
      <c r="CM299" s="9"/>
      <c r="CN299" s="9"/>
      <c r="CO299" s="9"/>
      <c r="CP299" s="9"/>
      <c r="CQ299" s="9"/>
      <c r="CR299" s="9"/>
      <c r="CS299" s="9"/>
      <c r="CT299" s="9"/>
      <c r="CU299" s="9"/>
      <c r="CV299" s="9"/>
      <c r="CW299" s="9"/>
      <c r="CX299" s="9"/>
      <c r="CY299" s="9"/>
      <c r="CZ299" s="9"/>
      <c r="DA299" s="9"/>
      <c r="DB299" s="9"/>
      <c r="DC299" s="9"/>
      <c r="DD299" s="9"/>
      <c r="DE299" s="9"/>
      <c r="DF299" s="9"/>
      <c r="DG299" s="9"/>
      <c r="DH299" s="9"/>
      <c r="DI299" s="9"/>
      <c r="DJ299" s="9"/>
      <c r="DK299" s="9"/>
      <c r="DL299" s="9"/>
      <c r="DM299" s="9"/>
      <c r="DN299" s="9"/>
      <c r="DO299" s="9"/>
      <c r="DP299" s="9"/>
      <c r="DQ299" s="9"/>
      <c r="DR299" s="9"/>
      <c r="DS299" s="9"/>
      <c r="DT299" s="9"/>
      <c r="DU299" s="9"/>
      <c r="DV299" s="9"/>
      <c r="DW299" s="9"/>
      <c r="DX299" s="9"/>
      <c r="DY299" s="9"/>
      <c r="DZ299" s="9"/>
      <c r="EA299" s="9"/>
      <c r="EB299" s="9"/>
      <c r="EC299" s="9"/>
      <c r="ED299" s="9"/>
      <c r="EE299" s="9"/>
      <c r="EF299" s="9"/>
      <c r="EG299" s="9"/>
      <c r="EH299" s="9"/>
      <c r="EI299" s="9"/>
      <c r="EJ299" s="9"/>
      <c r="EK299" s="9"/>
      <c r="EL299" s="9"/>
      <c r="EM299" s="9"/>
      <c r="EN299" s="9"/>
      <c r="EO299" s="9"/>
      <c r="EP299" s="9"/>
      <c r="EQ299" s="9"/>
      <c r="ER299" s="9"/>
      <c r="ES299" s="9"/>
      <c r="ET299" s="9"/>
      <c r="EU299" s="9"/>
      <c r="EV299" s="9"/>
      <c r="EW299" s="9"/>
      <c r="EX299" s="9"/>
      <c r="EY299" s="9"/>
      <c r="EZ299" s="9"/>
      <c r="FA299" s="9"/>
      <c r="FB299" s="9"/>
      <c r="FC299" s="9"/>
      <c r="FD299" s="9"/>
      <c r="FE299" s="9"/>
      <c r="FF299" s="9"/>
      <c r="FG299" s="9"/>
      <c r="FH299" s="9"/>
      <c r="FI299" s="9"/>
    </row>
    <row r="300" spans="1:165" x14ac:dyDescent="0.2">
      <c r="A300" s="1" t="s">
        <v>994</v>
      </c>
      <c r="B300" s="1" t="s">
        <v>995</v>
      </c>
      <c r="C300" s="1" t="s">
        <v>481</v>
      </c>
      <c r="D300" s="1" t="str">
        <f>HYPERLINK("http://eros.fiehnlab.ucdavis.edu:8080/binbase-compound/bin/show/270999?db=rtx5","270999")</f>
        <v>270999</v>
      </c>
      <c r="E300" s="1" t="s">
        <v>996</v>
      </c>
      <c r="F300" s="1" t="s">
        <v>184</v>
      </c>
      <c r="G300" s="1" t="s">
        <v>184</v>
      </c>
      <c r="H300" s="1"/>
      <c r="I300" s="8">
        <v>398</v>
      </c>
      <c r="J300" s="8">
        <v>824</v>
      </c>
      <c r="K300" s="8">
        <v>444</v>
      </c>
      <c r="L300" s="8">
        <v>475</v>
      </c>
      <c r="M300" s="8">
        <v>505</v>
      </c>
      <c r="N300" s="8">
        <v>440</v>
      </c>
      <c r="O300" s="8">
        <v>593</v>
      </c>
      <c r="P300" s="8">
        <v>571</v>
      </c>
      <c r="Q300" s="8">
        <v>536</v>
      </c>
      <c r="R300" s="8">
        <v>847</v>
      </c>
      <c r="S300" s="8">
        <v>434</v>
      </c>
      <c r="T300" s="8">
        <v>413</v>
      </c>
      <c r="U300" s="8">
        <v>397</v>
      </c>
      <c r="V300" s="8">
        <v>567</v>
      </c>
      <c r="W300" s="8">
        <v>503</v>
      </c>
      <c r="X300" s="8">
        <v>702</v>
      </c>
      <c r="Y300" s="8">
        <v>449</v>
      </c>
      <c r="Z300" s="8">
        <v>416</v>
      </c>
      <c r="AA300" s="8">
        <v>588</v>
      </c>
      <c r="AB300" s="8">
        <v>618</v>
      </c>
      <c r="AC300" s="8">
        <v>453</v>
      </c>
      <c r="AD300" s="8">
        <v>448</v>
      </c>
      <c r="AE300" s="8">
        <v>590</v>
      </c>
      <c r="AF300" s="8">
        <v>307</v>
      </c>
      <c r="AG300" s="8">
        <v>408</v>
      </c>
      <c r="AH300" s="8">
        <v>461</v>
      </c>
      <c r="AI300" s="8">
        <v>581</v>
      </c>
      <c r="AJ300" s="8">
        <v>1280</v>
      </c>
      <c r="AK300" s="8">
        <v>416</v>
      </c>
      <c r="AL300" s="8">
        <v>746</v>
      </c>
      <c r="AM300" s="8">
        <v>803</v>
      </c>
      <c r="AN300" s="8">
        <v>543</v>
      </c>
      <c r="AO300" s="8">
        <v>697</v>
      </c>
      <c r="AP300" s="8">
        <v>477</v>
      </c>
      <c r="AQ300" s="8">
        <v>422</v>
      </c>
      <c r="AR300" s="8">
        <v>434</v>
      </c>
      <c r="AS300" s="8">
        <v>334</v>
      </c>
      <c r="AT300" s="8">
        <v>573</v>
      </c>
      <c r="AU300" s="8">
        <v>789</v>
      </c>
      <c r="AV300" s="8">
        <v>674</v>
      </c>
      <c r="AW300" s="8">
        <v>617</v>
      </c>
      <c r="AX300" s="8">
        <v>433</v>
      </c>
      <c r="AY300" s="8">
        <v>546</v>
      </c>
      <c r="AZ300" s="8">
        <v>607</v>
      </c>
      <c r="BA300" s="8">
        <v>467</v>
      </c>
      <c r="BB300" s="8">
        <v>665</v>
      </c>
      <c r="BC300" s="8">
        <v>544</v>
      </c>
      <c r="BD300" s="8">
        <v>704</v>
      </c>
      <c r="BE300" s="8">
        <v>339</v>
      </c>
      <c r="BF300" s="8">
        <v>582</v>
      </c>
      <c r="BG300" s="8">
        <v>856</v>
      </c>
      <c r="BH300" s="8">
        <v>318</v>
      </c>
      <c r="BI300" s="8">
        <v>366</v>
      </c>
      <c r="BJ300" s="8">
        <v>494</v>
      </c>
      <c r="BK300" s="8">
        <v>578</v>
      </c>
      <c r="BL300" s="8">
        <v>850</v>
      </c>
      <c r="BM300" s="8">
        <v>580</v>
      </c>
      <c r="BN300" s="8">
        <v>494</v>
      </c>
      <c r="BO300" s="8">
        <v>283</v>
      </c>
      <c r="BP300" s="8">
        <v>550</v>
      </c>
      <c r="BQ300" s="8">
        <v>419</v>
      </c>
      <c r="BR300" s="8">
        <v>333</v>
      </c>
      <c r="BS300" s="8">
        <v>777</v>
      </c>
      <c r="BT300" s="8">
        <v>424</v>
      </c>
      <c r="BU300" s="8">
        <v>360</v>
      </c>
      <c r="BV300" s="8">
        <v>422</v>
      </c>
      <c r="BW300" s="8">
        <v>445</v>
      </c>
      <c r="BX300" s="8">
        <v>571</v>
      </c>
      <c r="BY300" s="8">
        <v>476</v>
      </c>
      <c r="BZ300" s="8">
        <v>545</v>
      </c>
      <c r="CA300" s="8">
        <v>392</v>
      </c>
      <c r="CB300" s="8">
        <v>470</v>
      </c>
      <c r="CC300" s="8">
        <v>461</v>
      </c>
      <c r="CD300" s="8">
        <v>470</v>
      </c>
      <c r="CE300" s="8">
        <v>455</v>
      </c>
      <c r="CF300" s="8">
        <v>596</v>
      </c>
      <c r="CG300" s="8">
        <v>386</v>
      </c>
      <c r="CH300" s="8">
        <v>417</v>
      </c>
      <c r="CJ300" s="9"/>
      <c r="CK300" s="9"/>
      <c r="CL300" s="9"/>
      <c r="CM300" s="9"/>
      <c r="CN300" s="9"/>
      <c r="CO300" s="9"/>
      <c r="CP300" s="9"/>
      <c r="CQ300" s="9"/>
      <c r="CR300" s="9"/>
      <c r="CS300" s="9"/>
      <c r="CT300" s="9"/>
      <c r="CU300" s="9"/>
      <c r="CV300" s="9"/>
      <c r="CW300" s="9"/>
      <c r="CX300" s="9"/>
      <c r="CY300" s="9"/>
      <c r="CZ300" s="9"/>
      <c r="DA300" s="9"/>
      <c r="DB300" s="9"/>
      <c r="DC300" s="9"/>
      <c r="DD300" s="9"/>
      <c r="DE300" s="9"/>
      <c r="DF300" s="9"/>
      <c r="DG300" s="9"/>
      <c r="DH300" s="9"/>
      <c r="DI300" s="9"/>
      <c r="DJ300" s="9"/>
      <c r="DK300" s="9"/>
      <c r="DL300" s="9"/>
      <c r="DM300" s="9"/>
      <c r="DN300" s="9"/>
      <c r="DO300" s="9"/>
      <c r="DP300" s="9"/>
      <c r="DQ300" s="9"/>
      <c r="DR300" s="9"/>
      <c r="DS300" s="9"/>
      <c r="DT300" s="9"/>
      <c r="DU300" s="9"/>
      <c r="DV300" s="9"/>
      <c r="DW300" s="9"/>
      <c r="DX300" s="9"/>
      <c r="DY300" s="9"/>
      <c r="DZ300" s="9"/>
      <c r="EA300" s="9"/>
      <c r="EB300" s="9"/>
      <c r="EC300" s="9"/>
      <c r="ED300" s="9"/>
      <c r="EE300" s="9"/>
      <c r="EF300" s="9"/>
      <c r="EG300" s="9"/>
      <c r="EH300" s="9"/>
      <c r="EI300" s="9"/>
      <c r="EJ300" s="9"/>
      <c r="EK300" s="9"/>
      <c r="EL300" s="9"/>
      <c r="EM300" s="9"/>
      <c r="EN300" s="9"/>
      <c r="EO300" s="9"/>
      <c r="EP300" s="9"/>
      <c r="EQ300" s="9"/>
      <c r="ER300" s="9"/>
      <c r="ES300" s="9"/>
      <c r="ET300" s="9"/>
      <c r="EU300" s="9"/>
      <c r="EV300" s="9"/>
      <c r="EW300" s="9"/>
      <c r="EX300" s="9"/>
      <c r="EY300" s="9"/>
      <c r="EZ300" s="9"/>
      <c r="FA300" s="9"/>
      <c r="FB300" s="9"/>
      <c r="FC300" s="9"/>
      <c r="FD300" s="9"/>
      <c r="FE300" s="9"/>
      <c r="FF300" s="9"/>
      <c r="FG300" s="9"/>
      <c r="FH300" s="9"/>
      <c r="FI300" s="9"/>
    </row>
    <row r="301" spans="1:165" x14ac:dyDescent="0.2">
      <c r="A301" s="1" t="s">
        <v>907</v>
      </c>
      <c r="B301" s="1" t="s">
        <v>908</v>
      </c>
      <c r="C301" s="1" t="s">
        <v>848</v>
      </c>
      <c r="D301" s="1" t="str">
        <f>HYPERLINK("http://eros.fiehnlab.ucdavis.edu:8080/binbase-compound/bin/show/300129?db=rtx5","300129")</f>
        <v>300129</v>
      </c>
      <c r="E301" s="1" t="s">
        <v>909</v>
      </c>
      <c r="F301" s="1" t="s">
        <v>184</v>
      </c>
      <c r="G301" s="1" t="s">
        <v>184</v>
      </c>
      <c r="H301" s="1"/>
      <c r="I301" s="8">
        <v>1381</v>
      </c>
      <c r="J301" s="8">
        <v>834</v>
      </c>
      <c r="K301" s="8">
        <v>1157</v>
      </c>
      <c r="L301" s="8">
        <v>1069</v>
      </c>
      <c r="M301" s="8">
        <v>1663</v>
      </c>
      <c r="N301" s="8">
        <v>1821</v>
      </c>
      <c r="O301" s="8">
        <v>729</v>
      </c>
      <c r="P301" s="8">
        <v>1212</v>
      </c>
      <c r="Q301" s="8">
        <v>1910</v>
      </c>
      <c r="R301" s="8">
        <v>1827</v>
      </c>
      <c r="S301" s="8">
        <v>1815</v>
      </c>
      <c r="T301" s="8">
        <v>2236</v>
      </c>
      <c r="U301" s="8">
        <v>1015</v>
      </c>
      <c r="V301" s="8">
        <v>1125</v>
      </c>
      <c r="W301" s="8">
        <v>1774</v>
      </c>
      <c r="X301" s="8">
        <v>1905</v>
      </c>
      <c r="Y301" s="8">
        <v>1467</v>
      </c>
      <c r="Z301" s="8">
        <v>1572</v>
      </c>
      <c r="AA301" s="8">
        <v>814</v>
      </c>
      <c r="AB301" s="8">
        <v>1092</v>
      </c>
      <c r="AC301" s="8">
        <v>994</v>
      </c>
      <c r="AD301" s="8">
        <v>1222</v>
      </c>
      <c r="AE301" s="8">
        <v>1325</v>
      </c>
      <c r="AF301" s="8">
        <v>1372</v>
      </c>
      <c r="AG301" s="8">
        <v>885</v>
      </c>
      <c r="AH301" s="8">
        <v>1174</v>
      </c>
      <c r="AI301" s="8">
        <v>1024</v>
      </c>
      <c r="AJ301" s="8">
        <v>1381</v>
      </c>
      <c r="AK301" s="8">
        <v>879</v>
      </c>
      <c r="AL301" s="8">
        <v>1911</v>
      </c>
      <c r="AM301" s="8">
        <v>1306</v>
      </c>
      <c r="AN301" s="8">
        <v>1229</v>
      </c>
      <c r="AO301" s="8">
        <v>1224</v>
      </c>
      <c r="AP301" s="8">
        <v>1899</v>
      </c>
      <c r="AQ301" s="8">
        <v>1688</v>
      </c>
      <c r="AR301" s="8">
        <v>1564</v>
      </c>
      <c r="AS301" s="8">
        <v>1265</v>
      </c>
      <c r="AT301" s="8">
        <v>1293</v>
      </c>
      <c r="AU301" s="8">
        <v>1263</v>
      </c>
      <c r="AV301" s="8">
        <v>1129</v>
      </c>
      <c r="AW301" s="8">
        <v>2431</v>
      </c>
      <c r="AX301" s="8">
        <v>1459</v>
      </c>
      <c r="AY301" s="8">
        <v>1370</v>
      </c>
      <c r="AZ301" s="8">
        <v>1888</v>
      </c>
      <c r="BA301" s="8">
        <v>1971</v>
      </c>
      <c r="BB301" s="8">
        <v>1570</v>
      </c>
      <c r="BC301" s="8">
        <v>1980</v>
      </c>
      <c r="BD301" s="8">
        <v>2262</v>
      </c>
      <c r="BE301" s="8">
        <v>1276</v>
      </c>
      <c r="BF301" s="8">
        <v>1140</v>
      </c>
      <c r="BG301" s="8">
        <v>1151</v>
      </c>
      <c r="BH301" s="8">
        <v>826</v>
      </c>
      <c r="BI301" s="8">
        <v>793</v>
      </c>
      <c r="BJ301" s="8">
        <v>1132</v>
      </c>
      <c r="BK301" s="8">
        <v>1560</v>
      </c>
      <c r="BL301" s="8">
        <v>1079</v>
      </c>
      <c r="BM301" s="8">
        <v>1353</v>
      </c>
      <c r="BN301" s="8">
        <v>1366</v>
      </c>
      <c r="BO301" s="8">
        <v>1828</v>
      </c>
      <c r="BP301" s="8">
        <v>2293</v>
      </c>
      <c r="BQ301" s="8">
        <v>1394</v>
      </c>
      <c r="BR301" s="8">
        <v>1204</v>
      </c>
      <c r="BS301" s="8">
        <v>1239</v>
      </c>
      <c r="BT301" s="8">
        <v>1666</v>
      </c>
      <c r="BU301" s="8">
        <v>1423</v>
      </c>
      <c r="BV301" s="8">
        <v>1855</v>
      </c>
      <c r="BW301" s="8">
        <v>1351</v>
      </c>
      <c r="BX301" s="8">
        <v>1081</v>
      </c>
      <c r="BY301" s="8">
        <v>975</v>
      </c>
      <c r="BZ301" s="8">
        <v>2244</v>
      </c>
      <c r="CA301" s="8">
        <v>2078</v>
      </c>
      <c r="CB301" s="8">
        <v>846</v>
      </c>
      <c r="CC301" s="8">
        <v>1027</v>
      </c>
      <c r="CD301" s="8">
        <v>840</v>
      </c>
      <c r="CE301" s="8">
        <v>1166</v>
      </c>
      <c r="CF301" s="8">
        <v>945</v>
      </c>
      <c r="CG301" s="8">
        <v>2211</v>
      </c>
      <c r="CH301" s="8">
        <v>1817</v>
      </c>
      <c r="CJ301" s="9"/>
      <c r="CK301" s="9"/>
      <c r="CL301" s="9"/>
      <c r="CM301" s="9"/>
      <c r="CN301" s="9"/>
      <c r="CO301" s="9"/>
      <c r="CP301" s="9"/>
      <c r="CQ301" s="9"/>
      <c r="CR301" s="9"/>
      <c r="CS301" s="9"/>
      <c r="CT301" s="9"/>
      <c r="CU301" s="9"/>
      <c r="CV301" s="9"/>
      <c r="CW301" s="9"/>
      <c r="CX301" s="9"/>
      <c r="CY301" s="9"/>
      <c r="CZ301" s="9"/>
      <c r="DA301" s="9"/>
      <c r="DB301" s="9"/>
      <c r="DC301" s="9"/>
      <c r="DD301" s="9"/>
      <c r="DE301" s="9"/>
      <c r="DF301" s="9"/>
      <c r="DG301" s="9"/>
      <c r="DH301" s="9"/>
      <c r="DI301" s="9"/>
      <c r="DJ301" s="9"/>
      <c r="DK301" s="9"/>
      <c r="DL301" s="9"/>
      <c r="DM301" s="9"/>
      <c r="DN301" s="9"/>
      <c r="DO301" s="9"/>
      <c r="DP301" s="9"/>
      <c r="DQ301" s="9"/>
      <c r="DR301" s="9"/>
      <c r="DS301" s="9"/>
      <c r="DT301" s="9"/>
      <c r="DU301" s="9"/>
      <c r="DV301" s="9"/>
      <c r="DW301" s="9"/>
      <c r="DX301" s="9"/>
      <c r="DY301" s="9"/>
      <c r="DZ301" s="9"/>
      <c r="EA301" s="9"/>
      <c r="EB301" s="9"/>
      <c r="EC301" s="9"/>
      <c r="ED301" s="9"/>
      <c r="EE301" s="9"/>
      <c r="EF301" s="9"/>
      <c r="EG301" s="9"/>
      <c r="EH301" s="9"/>
      <c r="EI301" s="9"/>
      <c r="EJ301" s="9"/>
      <c r="EK301" s="9"/>
      <c r="EL301" s="9"/>
      <c r="EM301" s="9"/>
      <c r="EN301" s="9"/>
      <c r="EO301" s="9"/>
      <c r="EP301" s="9"/>
      <c r="EQ301" s="9"/>
      <c r="ER301" s="9"/>
      <c r="ES301" s="9"/>
      <c r="ET301" s="9"/>
      <c r="EU301" s="9"/>
      <c r="EV301" s="9"/>
      <c r="EW301" s="9"/>
      <c r="EX301" s="9"/>
      <c r="EY301" s="9"/>
      <c r="EZ301" s="9"/>
      <c r="FA301" s="9"/>
      <c r="FB301" s="9"/>
      <c r="FC301" s="9"/>
      <c r="FD301" s="9"/>
      <c r="FE301" s="9"/>
      <c r="FF301" s="9"/>
      <c r="FG301" s="9"/>
      <c r="FH301" s="9"/>
      <c r="FI301" s="9"/>
    </row>
    <row r="302" spans="1:165" x14ac:dyDescent="0.2">
      <c r="A302" s="1" t="s">
        <v>1132</v>
      </c>
      <c r="B302" s="1" t="s">
        <v>1133</v>
      </c>
      <c r="C302" s="1" t="s">
        <v>1134</v>
      </c>
      <c r="D302" s="1" t="str">
        <f>HYPERLINK("http://eros.fiehnlab.ucdavis.edu:8080/binbase-compound/bin/show/228398?db=rtx5","228398")</f>
        <v>228398</v>
      </c>
      <c r="E302" s="1" t="s">
        <v>1135</v>
      </c>
      <c r="F302" s="1" t="s">
        <v>184</v>
      </c>
      <c r="G302" s="1" t="s">
        <v>184</v>
      </c>
      <c r="H302" s="1"/>
      <c r="I302" s="8">
        <v>389</v>
      </c>
      <c r="J302" s="8">
        <v>309</v>
      </c>
      <c r="K302" s="8">
        <v>333</v>
      </c>
      <c r="L302" s="8">
        <v>291</v>
      </c>
      <c r="M302" s="8">
        <v>374</v>
      </c>
      <c r="N302" s="8">
        <v>340</v>
      </c>
      <c r="O302" s="8">
        <v>296</v>
      </c>
      <c r="P302" s="8">
        <v>372</v>
      </c>
      <c r="Q302" s="8">
        <v>412</v>
      </c>
      <c r="R302" s="8">
        <v>335</v>
      </c>
      <c r="S302" s="8">
        <v>383</v>
      </c>
      <c r="T302" s="8">
        <v>291</v>
      </c>
      <c r="U302" s="8">
        <v>224</v>
      </c>
      <c r="V302" s="8">
        <v>313</v>
      </c>
      <c r="W302" s="8">
        <v>281</v>
      </c>
      <c r="X302" s="8">
        <v>176</v>
      </c>
      <c r="Y302" s="8">
        <v>247</v>
      </c>
      <c r="Z302" s="8">
        <v>304</v>
      </c>
      <c r="AA302" s="8">
        <v>223</v>
      </c>
      <c r="AB302" s="8">
        <v>294</v>
      </c>
      <c r="AC302" s="8">
        <v>297</v>
      </c>
      <c r="AD302" s="8">
        <v>367</v>
      </c>
      <c r="AE302" s="8">
        <v>296</v>
      </c>
      <c r="AF302" s="8">
        <v>225</v>
      </c>
      <c r="AG302" s="8">
        <v>244</v>
      </c>
      <c r="AH302" s="8">
        <v>255</v>
      </c>
      <c r="AI302" s="8">
        <v>252</v>
      </c>
      <c r="AJ302" s="8">
        <v>306</v>
      </c>
      <c r="AK302" s="8">
        <v>167</v>
      </c>
      <c r="AL302" s="8">
        <v>334</v>
      </c>
      <c r="AM302" s="8">
        <v>399</v>
      </c>
      <c r="AN302" s="8">
        <v>273</v>
      </c>
      <c r="AO302" s="8">
        <v>321</v>
      </c>
      <c r="AP302" s="8">
        <v>420</v>
      </c>
      <c r="AQ302" s="8">
        <v>319</v>
      </c>
      <c r="AR302" s="8">
        <v>245</v>
      </c>
      <c r="AS302" s="8">
        <v>400</v>
      </c>
      <c r="AT302" s="8">
        <v>290</v>
      </c>
      <c r="AU302" s="8">
        <v>319</v>
      </c>
      <c r="AV302" s="8">
        <v>269</v>
      </c>
      <c r="AW302" s="8">
        <v>341</v>
      </c>
      <c r="AX302" s="8">
        <v>240</v>
      </c>
      <c r="AY302" s="8">
        <v>313</v>
      </c>
      <c r="AZ302" s="8">
        <v>371</v>
      </c>
      <c r="BA302" s="8">
        <v>333</v>
      </c>
      <c r="BB302" s="8">
        <v>332</v>
      </c>
      <c r="BC302" s="8">
        <v>347</v>
      </c>
      <c r="BD302" s="8">
        <v>347</v>
      </c>
      <c r="BE302" s="8">
        <v>332</v>
      </c>
      <c r="BF302" s="8">
        <v>362</v>
      </c>
      <c r="BG302" s="8">
        <v>368</v>
      </c>
      <c r="BH302" s="8">
        <v>208</v>
      </c>
      <c r="BI302" s="8">
        <v>280</v>
      </c>
      <c r="BJ302" s="8">
        <v>279</v>
      </c>
      <c r="BK302" s="8">
        <v>194</v>
      </c>
      <c r="BL302" s="8">
        <v>342</v>
      </c>
      <c r="BM302" s="8">
        <v>384</v>
      </c>
      <c r="BN302" s="8">
        <v>161</v>
      </c>
      <c r="BO302" s="8">
        <v>362</v>
      </c>
      <c r="BP302" s="8">
        <v>323</v>
      </c>
      <c r="BQ302" s="8">
        <v>326</v>
      </c>
      <c r="BR302" s="8">
        <v>288</v>
      </c>
      <c r="BS302" s="8">
        <v>336</v>
      </c>
      <c r="BT302" s="8">
        <v>306</v>
      </c>
      <c r="BU302" s="8">
        <v>182</v>
      </c>
      <c r="BV302" s="8">
        <v>257</v>
      </c>
      <c r="BW302" s="8">
        <v>370</v>
      </c>
      <c r="BX302" s="8">
        <v>314</v>
      </c>
      <c r="BY302" s="8">
        <v>314</v>
      </c>
      <c r="BZ302" s="8">
        <v>335</v>
      </c>
      <c r="CA302" s="8">
        <v>307</v>
      </c>
      <c r="CB302" s="8">
        <v>255</v>
      </c>
      <c r="CC302" s="8">
        <v>304</v>
      </c>
      <c r="CD302" s="8">
        <v>285</v>
      </c>
      <c r="CE302" s="8">
        <v>318</v>
      </c>
      <c r="CF302" s="8">
        <v>227</v>
      </c>
      <c r="CG302" s="8">
        <v>253</v>
      </c>
      <c r="CH302" s="8">
        <v>296</v>
      </c>
      <c r="CJ302" s="9"/>
      <c r="CK302" s="9"/>
      <c r="CL302" s="9"/>
      <c r="CM302" s="9"/>
      <c r="CN302" s="9"/>
      <c r="CO302" s="9"/>
      <c r="CP302" s="9"/>
      <c r="CQ302" s="9"/>
      <c r="CR302" s="9"/>
      <c r="CS302" s="9"/>
      <c r="CT302" s="9"/>
      <c r="CU302" s="9"/>
      <c r="CV302" s="9"/>
      <c r="CW302" s="9"/>
      <c r="CX302" s="9"/>
      <c r="CY302" s="9"/>
      <c r="CZ302" s="9"/>
      <c r="DA302" s="9"/>
      <c r="DB302" s="9"/>
      <c r="DC302" s="9"/>
      <c r="DD302" s="9"/>
      <c r="DE302" s="9"/>
      <c r="DF302" s="9"/>
      <c r="DG302" s="9"/>
      <c r="DH302" s="9"/>
      <c r="DI302" s="9"/>
      <c r="DJ302" s="9"/>
      <c r="DK302" s="9"/>
      <c r="DL302" s="9"/>
      <c r="DM302" s="9"/>
      <c r="DN302" s="9"/>
      <c r="DO302" s="9"/>
      <c r="DP302" s="9"/>
      <c r="DQ302" s="9"/>
      <c r="DR302" s="9"/>
      <c r="DS302" s="9"/>
      <c r="DT302" s="9"/>
      <c r="DU302" s="9"/>
      <c r="DV302" s="9"/>
      <c r="DW302" s="9"/>
      <c r="DX302" s="9"/>
      <c r="DY302" s="9"/>
      <c r="DZ302" s="9"/>
      <c r="EA302" s="9"/>
      <c r="EB302" s="9"/>
      <c r="EC302" s="9"/>
      <c r="ED302" s="9"/>
      <c r="EE302" s="9"/>
      <c r="EF302" s="9"/>
      <c r="EG302" s="9"/>
      <c r="EH302" s="9"/>
      <c r="EI302" s="9"/>
      <c r="EJ302" s="9"/>
      <c r="EK302" s="9"/>
      <c r="EL302" s="9"/>
      <c r="EM302" s="9"/>
      <c r="EN302" s="9"/>
      <c r="EO302" s="9"/>
      <c r="EP302" s="9"/>
      <c r="EQ302" s="9"/>
      <c r="ER302" s="9"/>
      <c r="ES302" s="9"/>
      <c r="ET302" s="9"/>
      <c r="EU302" s="9"/>
      <c r="EV302" s="9"/>
      <c r="EW302" s="9"/>
      <c r="EX302" s="9"/>
      <c r="EY302" s="9"/>
      <c r="EZ302" s="9"/>
      <c r="FA302" s="9"/>
      <c r="FB302" s="9"/>
      <c r="FC302" s="9"/>
      <c r="FD302" s="9"/>
      <c r="FE302" s="9"/>
      <c r="FF302" s="9"/>
      <c r="FG302" s="9"/>
      <c r="FH302" s="9"/>
      <c r="FI302" s="9"/>
    </row>
    <row r="303" spans="1:165" x14ac:dyDescent="0.2">
      <c r="A303" s="1" t="s">
        <v>957</v>
      </c>
      <c r="B303" s="1" t="s">
        <v>958</v>
      </c>
      <c r="C303" s="1" t="s">
        <v>533</v>
      </c>
      <c r="D303" s="1" t="str">
        <f>HYPERLINK("http://eros.fiehnlab.ucdavis.edu:8080/binbase-compound/bin/show/282690?db=rtx5","282690")</f>
        <v>282690</v>
      </c>
      <c r="E303" s="1" t="s">
        <v>959</v>
      </c>
      <c r="F303" s="1" t="s">
        <v>184</v>
      </c>
      <c r="G303" s="1" t="s">
        <v>184</v>
      </c>
      <c r="H303" s="1"/>
      <c r="I303" s="8">
        <v>691</v>
      </c>
      <c r="J303" s="8">
        <v>658</v>
      </c>
      <c r="K303" s="8">
        <v>349</v>
      </c>
      <c r="L303" s="8">
        <v>498</v>
      </c>
      <c r="M303" s="8">
        <v>590</v>
      </c>
      <c r="N303" s="8">
        <v>935</v>
      </c>
      <c r="O303" s="8">
        <v>427</v>
      </c>
      <c r="P303" s="8">
        <v>622</v>
      </c>
      <c r="Q303" s="8">
        <v>670</v>
      </c>
      <c r="R303" s="8">
        <v>558</v>
      </c>
      <c r="S303" s="8">
        <v>748</v>
      </c>
      <c r="T303" s="8">
        <v>514</v>
      </c>
      <c r="U303" s="8">
        <v>556</v>
      </c>
      <c r="V303" s="8">
        <v>504</v>
      </c>
      <c r="W303" s="8">
        <v>543</v>
      </c>
      <c r="X303" s="8">
        <v>666</v>
      </c>
      <c r="Y303" s="8">
        <v>468</v>
      </c>
      <c r="Z303" s="8">
        <v>580</v>
      </c>
      <c r="AA303" s="8">
        <v>315</v>
      </c>
      <c r="AB303" s="8">
        <v>453</v>
      </c>
      <c r="AC303" s="8">
        <v>554</v>
      </c>
      <c r="AD303" s="8">
        <v>477</v>
      </c>
      <c r="AE303" s="8">
        <v>673</v>
      </c>
      <c r="AF303" s="8">
        <v>433</v>
      </c>
      <c r="AG303" s="8">
        <v>405</v>
      </c>
      <c r="AH303" s="8">
        <v>497</v>
      </c>
      <c r="AI303" s="8">
        <v>430</v>
      </c>
      <c r="AJ303" s="8">
        <v>593</v>
      </c>
      <c r="AK303" s="8">
        <v>446</v>
      </c>
      <c r="AL303" s="8">
        <v>305</v>
      </c>
      <c r="AM303" s="8">
        <v>848</v>
      </c>
      <c r="AN303" s="8">
        <v>609</v>
      </c>
      <c r="AO303" s="8">
        <v>558</v>
      </c>
      <c r="AP303" s="8">
        <v>950</v>
      </c>
      <c r="AQ303" s="8">
        <v>584</v>
      </c>
      <c r="AR303" s="8">
        <v>643</v>
      </c>
      <c r="AS303" s="8">
        <v>432</v>
      </c>
      <c r="AT303" s="8">
        <v>470</v>
      </c>
      <c r="AU303" s="8">
        <v>468</v>
      </c>
      <c r="AV303" s="8">
        <v>463</v>
      </c>
      <c r="AW303" s="8">
        <v>428</v>
      </c>
      <c r="AX303" s="8">
        <v>584</v>
      </c>
      <c r="AY303" s="8">
        <v>728</v>
      </c>
      <c r="AZ303" s="8">
        <v>715</v>
      </c>
      <c r="BA303" s="8">
        <v>671</v>
      </c>
      <c r="BB303" s="8">
        <v>299</v>
      </c>
      <c r="BC303" s="8">
        <v>834</v>
      </c>
      <c r="BD303" s="8">
        <v>603</v>
      </c>
      <c r="BE303" s="8">
        <v>529</v>
      </c>
      <c r="BF303" s="8">
        <v>244</v>
      </c>
      <c r="BG303" s="8">
        <v>444</v>
      </c>
      <c r="BH303" s="8">
        <v>449</v>
      </c>
      <c r="BI303" s="8">
        <v>561</v>
      </c>
      <c r="BJ303" s="8">
        <v>514</v>
      </c>
      <c r="BK303" s="8">
        <v>483</v>
      </c>
      <c r="BL303" s="8">
        <v>584</v>
      </c>
      <c r="BM303" s="8">
        <v>595</v>
      </c>
      <c r="BN303" s="8">
        <v>464</v>
      </c>
      <c r="BO303" s="8">
        <v>623</v>
      </c>
      <c r="BP303" s="8">
        <v>742</v>
      </c>
      <c r="BQ303" s="8">
        <v>484</v>
      </c>
      <c r="BR303" s="8">
        <v>102</v>
      </c>
      <c r="BS303" s="8">
        <v>591</v>
      </c>
      <c r="BT303" s="8">
        <v>574</v>
      </c>
      <c r="BU303" s="8">
        <v>203</v>
      </c>
      <c r="BV303" s="8">
        <v>624</v>
      </c>
      <c r="BW303" s="8">
        <v>501</v>
      </c>
      <c r="BX303" s="8">
        <v>530</v>
      </c>
      <c r="BY303" s="8">
        <v>583</v>
      </c>
      <c r="BZ303" s="8">
        <v>579</v>
      </c>
      <c r="CA303" s="8">
        <v>729</v>
      </c>
      <c r="CB303" s="8">
        <v>622</v>
      </c>
      <c r="CC303" s="8">
        <v>430</v>
      </c>
      <c r="CD303" s="8">
        <v>433</v>
      </c>
      <c r="CE303" s="8">
        <v>470</v>
      </c>
      <c r="CF303" s="8">
        <v>561</v>
      </c>
      <c r="CG303" s="8">
        <v>600</v>
      </c>
      <c r="CH303" s="8">
        <v>609</v>
      </c>
      <c r="CJ303" s="9"/>
      <c r="CK303" s="9"/>
      <c r="CL303" s="9"/>
      <c r="CM303" s="9"/>
      <c r="CN303" s="9"/>
      <c r="CO303" s="9"/>
      <c r="CP303" s="9"/>
      <c r="CQ303" s="9"/>
      <c r="CR303" s="9"/>
      <c r="CS303" s="9"/>
      <c r="CT303" s="9"/>
      <c r="CU303" s="9"/>
      <c r="CV303" s="9"/>
      <c r="CW303" s="9"/>
      <c r="CX303" s="9"/>
      <c r="CY303" s="9"/>
      <c r="CZ303" s="9"/>
      <c r="DA303" s="9"/>
      <c r="DB303" s="9"/>
      <c r="DC303" s="9"/>
      <c r="DD303" s="9"/>
      <c r="DE303" s="9"/>
      <c r="DF303" s="9"/>
      <c r="DG303" s="9"/>
      <c r="DH303" s="9"/>
      <c r="DI303" s="9"/>
      <c r="DJ303" s="9"/>
      <c r="DK303" s="9"/>
      <c r="DL303" s="9"/>
      <c r="DM303" s="9"/>
      <c r="DN303" s="9"/>
      <c r="DO303" s="9"/>
      <c r="DP303" s="9"/>
      <c r="DQ303" s="9"/>
      <c r="DR303" s="9"/>
      <c r="DS303" s="9"/>
      <c r="DT303" s="9"/>
      <c r="DU303" s="9"/>
      <c r="DV303" s="9"/>
      <c r="DW303" s="9"/>
      <c r="DX303" s="9"/>
      <c r="DY303" s="9"/>
      <c r="DZ303" s="9"/>
      <c r="EA303" s="9"/>
      <c r="EB303" s="9"/>
      <c r="EC303" s="9"/>
      <c r="ED303" s="9"/>
      <c r="EE303" s="9"/>
      <c r="EF303" s="9"/>
      <c r="EG303" s="9"/>
      <c r="EH303" s="9"/>
      <c r="EI303" s="9"/>
      <c r="EJ303" s="9"/>
      <c r="EK303" s="9"/>
      <c r="EL303" s="9"/>
      <c r="EM303" s="9"/>
      <c r="EN303" s="9"/>
      <c r="EO303" s="9"/>
      <c r="EP303" s="9"/>
      <c r="EQ303" s="9"/>
      <c r="ER303" s="9"/>
      <c r="ES303" s="9"/>
      <c r="ET303" s="9"/>
      <c r="EU303" s="9"/>
      <c r="EV303" s="9"/>
      <c r="EW303" s="9"/>
      <c r="EX303" s="9"/>
      <c r="EY303" s="9"/>
      <c r="EZ303" s="9"/>
      <c r="FA303" s="9"/>
      <c r="FB303" s="9"/>
      <c r="FC303" s="9"/>
      <c r="FD303" s="9"/>
      <c r="FE303" s="9"/>
      <c r="FF303" s="9"/>
      <c r="FG303" s="9"/>
      <c r="FH303" s="9"/>
      <c r="FI303" s="9"/>
    </row>
    <row r="304" spans="1:165" x14ac:dyDescent="0.2">
      <c r="A304" s="1" t="s">
        <v>858</v>
      </c>
      <c r="B304" s="1" t="s">
        <v>859</v>
      </c>
      <c r="C304" s="1" t="s">
        <v>265</v>
      </c>
      <c r="D304" s="1" t="str">
        <f>HYPERLINK("http://eros.fiehnlab.ucdavis.edu:8080/binbase-compound/bin/show/314899?db=rtx5","314899")</f>
        <v>314899</v>
      </c>
      <c r="E304" s="1" t="s">
        <v>860</v>
      </c>
      <c r="F304" s="1" t="s">
        <v>184</v>
      </c>
      <c r="G304" s="1" t="s">
        <v>184</v>
      </c>
      <c r="H304" s="1"/>
      <c r="I304" s="8">
        <v>709</v>
      </c>
      <c r="J304" s="8">
        <v>641</v>
      </c>
      <c r="K304" s="8">
        <v>653</v>
      </c>
      <c r="L304" s="8">
        <v>654</v>
      </c>
      <c r="M304" s="8">
        <v>661</v>
      </c>
      <c r="N304" s="8">
        <v>599</v>
      </c>
      <c r="O304" s="8">
        <v>823</v>
      </c>
      <c r="P304" s="8">
        <v>804</v>
      </c>
      <c r="Q304" s="8">
        <v>724</v>
      </c>
      <c r="R304" s="8">
        <v>816</v>
      </c>
      <c r="S304" s="8">
        <v>1047</v>
      </c>
      <c r="T304" s="8">
        <v>582</v>
      </c>
      <c r="U304" s="8">
        <v>830</v>
      </c>
      <c r="V304" s="8">
        <v>756</v>
      </c>
      <c r="W304" s="8">
        <v>503</v>
      </c>
      <c r="X304" s="8">
        <v>712</v>
      </c>
      <c r="Y304" s="8">
        <v>581</v>
      </c>
      <c r="Z304" s="8">
        <v>638</v>
      </c>
      <c r="AA304" s="8">
        <v>362</v>
      </c>
      <c r="AB304" s="8">
        <v>863</v>
      </c>
      <c r="AC304" s="8">
        <v>1187</v>
      </c>
      <c r="AD304" s="8">
        <v>559</v>
      </c>
      <c r="AE304" s="8">
        <v>408</v>
      </c>
      <c r="AF304" s="8">
        <v>465</v>
      </c>
      <c r="AG304" s="8">
        <v>723</v>
      </c>
      <c r="AH304" s="8">
        <v>713</v>
      </c>
      <c r="AI304" s="8">
        <v>833</v>
      </c>
      <c r="AJ304" s="8">
        <v>694</v>
      </c>
      <c r="AK304" s="8">
        <v>219</v>
      </c>
      <c r="AL304" s="8">
        <v>766</v>
      </c>
      <c r="AM304" s="8">
        <v>928</v>
      </c>
      <c r="AN304" s="8">
        <v>946</v>
      </c>
      <c r="AO304" s="8">
        <v>458</v>
      </c>
      <c r="AP304" s="8">
        <v>872</v>
      </c>
      <c r="AQ304" s="8">
        <v>819</v>
      </c>
      <c r="AR304" s="8">
        <v>318</v>
      </c>
      <c r="AS304" s="8">
        <v>933</v>
      </c>
      <c r="AT304" s="8">
        <v>843</v>
      </c>
      <c r="AU304" s="8">
        <v>724</v>
      </c>
      <c r="AV304" s="8">
        <v>809</v>
      </c>
      <c r="AW304" s="8">
        <v>836</v>
      </c>
      <c r="AX304" s="8">
        <v>754</v>
      </c>
      <c r="AY304" s="8">
        <v>1166</v>
      </c>
      <c r="AZ304" s="8">
        <v>391</v>
      </c>
      <c r="BA304" s="8">
        <v>695</v>
      </c>
      <c r="BB304" s="8">
        <v>704</v>
      </c>
      <c r="BC304" s="8">
        <v>1208</v>
      </c>
      <c r="BD304" s="8">
        <v>1010</v>
      </c>
      <c r="BE304" s="8">
        <v>507</v>
      </c>
      <c r="BF304" s="8">
        <v>875</v>
      </c>
      <c r="BG304" s="8">
        <v>698</v>
      </c>
      <c r="BH304" s="8">
        <v>615</v>
      </c>
      <c r="BI304" s="8">
        <v>748</v>
      </c>
      <c r="BJ304" s="8">
        <v>838</v>
      </c>
      <c r="BK304" s="8">
        <v>984</v>
      </c>
      <c r="BL304" s="8">
        <v>820</v>
      </c>
      <c r="BM304" s="8">
        <v>764</v>
      </c>
      <c r="BN304" s="8">
        <v>591</v>
      </c>
      <c r="BO304" s="8">
        <v>855</v>
      </c>
      <c r="BP304" s="8">
        <v>725</v>
      </c>
      <c r="BQ304" s="8">
        <v>341</v>
      </c>
      <c r="BR304" s="8">
        <v>728</v>
      </c>
      <c r="BS304" s="8">
        <v>873</v>
      </c>
      <c r="BT304" s="8">
        <v>706</v>
      </c>
      <c r="BU304" s="8">
        <v>692</v>
      </c>
      <c r="BV304" s="8">
        <v>706</v>
      </c>
      <c r="BW304" s="8">
        <v>807</v>
      </c>
      <c r="BX304" s="8">
        <v>856</v>
      </c>
      <c r="BY304" s="8">
        <v>869</v>
      </c>
      <c r="BZ304" s="8">
        <v>687</v>
      </c>
      <c r="CA304" s="8">
        <v>919</v>
      </c>
      <c r="CB304" s="8">
        <v>653</v>
      </c>
      <c r="CC304" s="8">
        <v>772</v>
      </c>
      <c r="CD304" s="8">
        <v>715</v>
      </c>
      <c r="CE304" s="8">
        <v>916</v>
      </c>
      <c r="CF304" s="8">
        <v>668</v>
      </c>
      <c r="CG304" s="8">
        <v>704</v>
      </c>
      <c r="CH304" s="8">
        <v>702</v>
      </c>
      <c r="CJ304" s="9"/>
      <c r="CK304" s="9"/>
      <c r="CL304" s="9"/>
      <c r="CM304" s="9"/>
      <c r="CN304" s="9"/>
      <c r="CO304" s="9"/>
      <c r="CP304" s="9"/>
      <c r="CQ304" s="9"/>
      <c r="CR304" s="9"/>
      <c r="CS304" s="9"/>
      <c r="CT304" s="9"/>
      <c r="CU304" s="9"/>
      <c r="CV304" s="9"/>
      <c r="CW304" s="9"/>
      <c r="CX304" s="9"/>
      <c r="CY304" s="9"/>
      <c r="CZ304" s="9"/>
      <c r="DA304" s="9"/>
      <c r="DB304" s="9"/>
      <c r="DC304" s="9"/>
      <c r="DD304" s="9"/>
      <c r="DE304" s="9"/>
      <c r="DF304" s="9"/>
      <c r="DG304" s="9"/>
      <c r="DH304" s="9"/>
      <c r="DI304" s="9"/>
      <c r="DJ304" s="9"/>
      <c r="DK304" s="9"/>
      <c r="DL304" s="9"/>
      <c r="DM304" s="9"/>
      <c r="DN304" s="9"/>
      <c r="DO304" s="9"/>
      <c r="DP304" s="9"/>
      <c r="DQ304" s="9"/>
      <c r="DR304" s="9"/>
      <c r="DS304" s="9"/>
      <c r="DT304" s="9"/>
      <c r="DU304" s="9"/>
      <c r="DV304" s="9"/>
      <c r="DW304" s="9"/>
      <c r="DX304" s="9"/>
      <c r="DY304" s="9"/>
      <c r="DZ304" s="9"/>
      <c r="EA304" s="9"/>
      <c r="EB304" s="9"/>
      <c r="EC304" s="9"/>
      <c r="ED304" s="9"/>
      <c r="EE304" s="9"/>
      <c r="EF304" s="9"/>
      <c r="EG304" s="9"/>
      <c r="EH304" s="9"/>
      <c r="EI304" s="9"/>
      <c r="EJ304" s="9"/>
      <c r="EK304" s="9"/>
      <c r="EL304" s="9"/>
      <c r="EM304" s="9"/>
      <c r="EN304" s="9"/>
      <c r="EO304" s="9"/>
      <c r="EP304" s="9"/>
      <c r="EQ304" s="9"/>
      <c r="ER304" s="9"/>
      <c r="ES304" s="9"/>
      <c r="ET304" s="9"/>
      <c r="EU304" s="9"/>
      <c r="EV304" s="9"/>
      <c r="EW304" s="9"/>
      <c r="EX304" s="9"/>
      <c r="EY304" s="9"/>
      <c r="EZ304" s="9"/>
      <c r="FA304" s="9"/>
      <c r="FB304" s="9"/>
      <c r="FC304" s="9"/>
      <c r="FD304" s="9"/>
      <c r="FE304" s="9"/>
      <c r="FF304" s="9"/>
      <c r="FG304" s="9"/>
      <c r="FH304" s="9"/>
      <c r="FI304" s="9"/>
    </row>
    <row r="305" spans="1:165" x14ac:dyDescent="0.2">
      <c r="A305" s="1" t="s">
        <v>686</v>
      </c>
      <c r="B305" s="1" t="s">
        <v>687</v>
      </c>
      <c r="C305" s="1" t="s">
        <v>688</v>
      </c>
      <c r="D305" s="1" t="str">
        <f>HYPERLINK("http://eros.fiehnlab.ucdavis.edu:8080/binbase-compound/bin/show/373726?db=rtx5","373726")</f>
        <v>373726</v>
      </c>
      <c r="E305" s="1" t="s">
        <v>689</v>
      </c>
      <c r="F305" s="1" t="s">
        <v>184</v>
      </c>
      <c r="G305" s="1" t="s">
        <v>184</v>
      </c>
      <c r="H305" s="1"/>
      <c r="I305" s="8">
        <v>126320</v>
      </c>
      <c r="J305" s="8">
        <v>98015</v>
      </c>
      <c r="K305" s="8">
        <v>121580</v>
      </c>
      <c r="L305" s="8">
        <v>98524</v>
      </c>
      <c r="M305" s="8">
        <v>83973</v>
      </c>
      <c r="N305" s="8">
        <v>74428</v>
      </c>
      <c r="O305" s="8">
        <v>192</v>
      </c>
      <c r="P305" s="8">
        <v>204</v>
      </c>
      <c r="Q305" s="8">
        <v>199</v>
      </c>
      <c r="R305" s="8">
        <v>181</v>
      </c>
      <c r="S305" s="8">
        <v>193</v>
      </c>
      <c r="T305" s="8">
        <v>262</v>
      </c>
      <c r="U305" s="8">
        <v>154</v>
      </c>
      <c r="V305" s="8">
        <v>254</v>
      </c>
      <c r="W305" s="8">
        <v>218</v>
      </c>
      <c r="X305" s="8">
        <v>299</v>
      </c>
      <c r="Y305" s="8">
        <v>227</v>
      </c>
      <c r="Z305" s="8">
        <v>202</v>
      </c>
      <c r="AA305" s="8">
        <v>163</v>
      </c>
      <c r="AB305" s="8">
        <v>242</v>
      </c>
      <c r="AC305" s="8">
        <v>172</v>
      </c>
      <c r="AD305" s="8">
        <v>162</v>
      </c>
      <c r="AE305" s="8">
        <v>200</v>
      </c>
      <c r="AF305" s="8">
        <v>214</v>
      </c>
      <c r="AG305" s="8">
        <v>186</v>
      </c>
      <c r="AH305" s="8">
        <v>237</v>
      </c>
      <c r="AI305" s="8">
        <v>155</v>
      </c>
      <c r="AJ305" s="8">
        <v>229</v>
      </c>
      <c r="AK305" s="8">
        <v>163</v>
      </c>
      <c r="AL305" s="8">
        <v>154</v>
      </c>
      <c r="AM305" s="8">
        <v>314</v>
      </c>
      <c r="AN305" s="8">
        <v>306</v>
      </c>
      <c r="AO305" s="8">
        <v>228</v>
      </c>
      <c r="AP305" s="8">
        <v>307</v>
      </c>
      <c r="AQ305" s="8">
        <v>273</v>
      </c>
      <c r="AR305" s="8">
        <v>242</v>
      </c>
      <c r="AS305" s="8">
        <v>231</v>
      </c>
      <c r="AT305" s="8">
        <v>160</v>
      </c>
      <c r="AU305" s="8">
        <v>250</v>
      </c>
      <c r="AV305" s="8">
        <v>262</v>
      </c>
      <c r="AW305" s="8">
        <v>157</v>
      </c>
      <c r="AX305" s="8">
        <v>255</v>
      </c>
      <c r="AY305" s="8">
        <v>176</v>
      </c>
      <c r="AZ305" s="8">
        <v>257</v>
      </c>
      <c r="BA305" s="8">
        <v>196</v>
      </c>
      <c r="BB305" s="8">
        <v>217</v>
      </c>
      <c r="BC305" s="8">
        <v>283</v>
      </c>
      <c r="BD305" s="8">
        <v>263</v>
      </c>
      <c r="BE305" s="8">
        <v>247</v>
      </c>
      <c r="BF305" s="8">
        <v>218</v>
      </c>
      <c r="BG305" s="8">
        <v>170</v>
      </c>
      <c r="BH305" s="8">
        <v>225</v>
      </c>
      <c r="BI305" s="8">
        <v>199</v>
      </c>
      <c r="BJ305" s="8">
        <v>121</v>
      </c>
      <c r="BK305" s="8">
        <v>266</v>
      </c>
      <c r="BL305" s="8">
        <v>275</v>
      </c>
      <c r="BM305" s="8">
        <v>235</v>
      </c>
      <c r="BN305" s="8">
        <v>281</v>
      </c>
      <c r="BO305" s="8">
        <v>233</v>
      </c>
      <c r="BP305" s="8">
        <v>146</v>
      </c>
      <c r="BQ305" s="8">
        <v>233</v>
      </c>
      <c r="BR305" s="8">
        <v>216</v>
      </c>
      <c r="BS305" s="8">
        <v>312</v>
      </c>
      <c r="BT305" s="8">
        <v>175</v>
      </c>
      <c r="BU305" s="8">
        <v>193</v>
      </c>
      <c r="BV305" s="8">
        <v>160</v>
      </c>
      <c r="BW305" s="8">
        <v>208</v>
      </c>
      <c r="BX305" s="8">
        <v>231</v>
      </c>
      <c r="BY305" s="8">
        <v>198</v>
      </c>
      <c r="BZ305" s="8">
        <v>217</v>
      </c>
      <c r="CA305" s="8">
        <v>217</v>
      </c>
      <c r="CB305" s="8">
        <v>262</v>
      </c>
      <c r="CC305" s="8">
        <v>266</v>
      </c>
      <c r="CD305" s="8">
        <v>305</v>
      </c>
      <c r="CE305" s="8">
        <v>245</v>
      </c>
      <c r="CF305" s="8">
        <v>255</v>
      </c>
      <c r="CG305" s="8">
        <v>287</v>
      </c>
      <c r="CH305" s="8">
        <v>179</v>
      </c>
      <c r="CJ305" s="9"/>
      <c r="CK305" s="9"/>
      <c r="CL305" s="9"/>
      <c r="CM305" s="9"/>
      <c r="CN305" s="9"/>
      <c r="CO305" s="9"/>
      <c r="CP305" s="9"/>
      <c r="CQ305" s="9"/>
      <c r="CR305" s="9"/>
      <c r="CS305" s="9"/>
      <c r="CT305" s="9"/>
      <c r="CU305" s="9"/>
      <c r="CV305" s="9"/>
      <c r="CW305" s="9"/>
      <c r="CX305" s="9"/>
      <c r="CY305" s="9"/>
      <c r="CZ305" s="9"/>
      <c r="DA305" s="9"/>
      <c r="DB305" s="9"/>
      <c r="DC305" s="9"/>
      <c r="DD305" s="9"/>
      <c r="DE305" s="9"/>
      <c r="DF305" s="9"/>
      <c r="DG305" s="9"/>
      <c r="DH305" s="9"/>
      <c r="DI305" s="9"/>
      <c r="DJ305" s="9"/>
      <c r="DK305" s="9"/>
      <c r="DL305" s="9"/>
      <c r="DM305" s="9"/>
      <c r="DN305" s="9"/>
      <c r="DO305" s="9"/>
      <c r="DP305" s="9"/>
      <c r="DQ305" s="9"/>
      <c r="DR305" s="9"/>
      <c r="DS305" s="9"/>
      <c r="DT305" s="9"/>
      <c r="DU305" s="9"/>
      <c r="DV305" s="9"/>
      <c r="DW305" s="9"/>
      <c r="DX305" s="9"/>
      <c r="DY305" s="9"/>
      <c r="DZ305" s="9"/>
      <c r="EA305" s="9"/>
      <c r="EB305" s="9"/>
      <c r="EC305" s="9"/>
      <c r="ED305" s="9"/>
      <c r="EE305" s="9"/>
      <c r="EF305" s="9"/>
      <c r="EG305" s="9"/>
      <c r="EH305" s="9"/>
      <c r="EI305" s="9"/>
      <c r="EJ305" s="9"/>
      <c r="EK305" s="9"/>
      <c r="EL305" s="9"/>
      <c r="EM305" s="9"/>
      <c r="EN305" s="9"/>
      <c r="EO305" s="9"/>
      <c r="EP305" s="9"/>
      <c r="EQ305" s="9"/>
      <c r="ER305" s="9"/>
      <c r="ES305" s="9"/>
      <c r="ET305" s="9"/>
      <c r="EU305" s="9"/>
      <c r="EV305" s="9"/>
      <c r="EW305" s="9"/>
      <c r="EX305" s="9"/>
      <c r="EY305" s="9"/>
      <c r="EZ305" s="9"/>
      <c r="FA305" s="9"/>
      <c r="FB305" s="9"/>
      <c r="FC305" s="9"/>
      <c r="FD305" s="9"/>
      <c r="FE305" s="9"/>
      <c r="FF305" s="9"/>
      <c r="FG305" s="9"/>
      <c r="FH305" s="9"/>
      <c r="FI305" s="9"/>
    </row>
    <row r="306" spans="1:165" x14ac:dyDescent="0.2">
      <c r="A306" s="1" t="s">
        <v>690</v>
      </c>
      <c r="B306" s="1" t="s">
        <v>691</v>
      </c>
      <c r="C306" s="1" t="s">
        <v>688</v>
      </c>
      <c r="D306" s="1" t="str">
        <f>HYPERLINK("http://eros.fiehnlab.ucdavis.edu:8080/binbase-compound/bin/show/373725?db=rtx5","373725")</f>
        <v>373725</v>
      </c>
      <c r="E306" s="1" t="s">
        <v>692</v>
      </c>
      <c r="F306" s="1" t="s">
        <v>184</v>
      </c>
      <c r="G306" s="1" t="s">
        <v>184</v>
      </c>
      <c r="H306" s="1"/>
      <c r="I306" s="8">
        <v>192626</v>
      </c>
      <c r="J306" s="8">
        <v>148125</v>
      </c>
      <c r="K306" s="8">
        <v>191911</v>
      </c>
      <c r="L306" s="8">
        <v>156237</v>
      </c>
      <c r="M306" s="8">
        <v>144770</v>
      </c>
      <c r="N306" s="8">
        <v>118711</v>
      </c>
      <c r="O306" s="8">
        <v>980</v>
      </c>
      <c r="P306" s="8">
        <v>278</v>
      </c>
      <c r="Q306" s="8">
        <v>494</v>
      </c>
      <c r="R306" s="8">
        <v>345</v>
      </c>
      <c r="S306" s="8">
        <v>549</v>
      </c>
      <c r="T306" s="8">
        <v>304</v>
      </c>
      <c r="U306" s="8">
        <v>253</v>
      </c>
      <c r="V306" s="8">
        <v>313</v>
      </c>
      <c r="W306" s="8">
        <v>648</v>
      </c>
      <c r="X306" s="8">
        <v>384</v>
      </c>
      <c r="Y306" s="8">
        <v>396</v>
      </c>
      <c r="Z306" s="8">
        <v>256</v>
      </c>
      <c r="AA306" s="8">
        <v>1736</v>
      </c>
      <c r="AB306" s="8">
        <v>119</v>
      </c>
      <c r="AC306" s="8">
        <v>202</v>
      </c>
      <c r="AD306" s="8">
        <v>124</v>
      </c>
      <c r="AE306" s="8">
        <v>197</v>
      </c>
      <c r="AF306" s="8">
        <v>1088</v>
      </c>
      <c r="AG306" s="8">
        <v>189</v>
      </c>
      <c r="AH306" s="8">
        <v>318</v>
      </c>
      <c r="AI306" s="8">
        <v>158</v>
      </c>
      <c r="AJ306" s="8">
        <v>275</v>
      </c>
      <c r="AK306" s="8">
        <v>207</v>
      </c>
      <c r="AL306" s="8">
        <v>385</v>
      </c>
      <c r="AM306" s="8">
        <v>218</v>
      </c>
      <c r="AN306" s="8">
        <v>1338</v>
      </c>
      <c r="AO306" s="8">
        <v>300</v>
      </c>
      <c r="AP306" s="8">
        <v>659</v>
      </c>
      <c r="AQ306" s="8">
        <v>1306</v>
      </c>
      <c r="AR306" s="8">
        <v>837</v>
      </c>
      <c r="AS306" s="8">
        <v>129</v>
      </c>
      <c r="AT306" s="8">
        <v>239</v>
      </c>
      <c r="AU306" s="8">
        <v>330</v>
      </c>
      <c r="AV306" s="8">
        <v>193</v>
      </c>
      <c r="AW306" s="8">
        <v>229</v>
      </c>
      <c r="AX306" s="8">
        <v>125</v>
      </c>
      <c r="AY306" s="8">
        <v>147</v>
      </c>
      <c r="AZ306" s="8">
        <v>624</v>
      </c>
      <c r="BA306" s="8">
        <v>195</v>
      </c>
      <c r="BB306" s="8">
        <v>121</v>
      </c>
      <c r="BC306" s="8">
        <v>115</v>
      </c>
      <c r="BD306" s="8">
        <v>125</v>
      </c>
      <c r="BE306" s="8">
        <v>129</v>
      </c>
      <c r="BF306" s="8">
        <v>214</v>
      </c>
      <c r="BG306" s="8">
        <v>107</v>
      </c>
      <c r="BH306" s="8">
        <v>430</v>
      </c>
      <c r="BI306" s="8">
        <v>95</v>
      </c>
      <c r="BJ306" s="8">
        <v>183</v>
      </c>
      <c r="BK306" s="8">
        <v>324</v>
      </c>
      <c r="BL306" s="8">
        <v>150</v>
      </c>
      <c r="BM306" s="8">
        <v>259</v>
      </c>
      <c r="BN306" s="8">
        <v>931</v>
      </c>
      <c r="BO306" s="8">
        <v>218</v>
      </c>
      <c r="BP306" s="8">
        <v>138</v>
      </c>
      <c r="BQ306" s="8">
        <v>239</v>
      </c>
      <c r="BR306" s="8">
        <v>307</v>
      </c>
      <c r="BS306" s="8">
        <v>186</v>
      </c>
      <c r="BT306" s="8">
        <v>208</v>
      </c>
      <c r="BU306" s="8">
        <v>238</v>
      </c>
      <c r="BV306" s="8">
        <v>172</v>
      </c>
      <c r="BW306" s="8">
        <v>138</v>
      </c>
      <c r="BX306" s="8">
        <v>97</v>
      </c>
      <c r="BY306" s="8">
        <v>104</v>
      </c>
      <c r="BZ306" s="8">
        <v>84</v>
      </c>
      <c r="CA306" s="8">
        <v>101</v>
      </c>
      <c r="CB306" s="8">
        <v>699</v>
      </c>
      <c r="CC306" s="8">
        <v>477</v>
      </c>
      <c r="CD306" s="8">
        <v>137</v>
      </c>
      <c r="CE306" s="8">
        <v>178</v>
      </c>
      <c r="CF306" s="8">
        <v>149</v>
      </c>
      <c r="CG306" s="8">
        <v>126</v>
      </c>
      <c r="CH306" s="8">
        <v>137</v>
      </c>
      <c r="CJ306" s="9"/>
      <c r="CK306" s="9"/>
      <c r="CL306" s="9"/>
      <c r="CM306" s="9"/>
      <c r="CN306" s="9"/>
      <c r="CO306" s="9"/>
      <c r="CP306" s="9"/>
      <c r="CQ306" s="9"/>
      <c r="CR306" s="9"/>
      <c r="CS306" s="9"/>
      <c r="CT306" s="9"/>
      <c r="CU306" s="9"/>
      <c r="CV306" s="9"/>
      <c r="CW306" s="9"/>
      <c r="CX306" s="9"/>
      <c r="CY306" s="9"/>
      <c r="CZ306" s="9"/>
      <c r="DA306" s="9"/>
      <c r="DB306" s="9"/>
      <c r="DC306" s="9"/>
      <c r="DD306" s="9"/>
      <c r="DE306" s="9"/>
      <c r="DF306" s="9"/>
      <c r="DG306" s="9"/>
      <c r="DH306" s="9"/>
      <c r="DI306" s="9"/>
      <c r="DJ306" s="9"/>
      <c r="DK306" s="9"/>
      <c r="DL306" s="9"/>
      <c r="DM306" s="9"/>
      <c r="DN306" s="9"/>
      <c r="DO306" s="9"/>
      <c r="DP306" s="9"/>
      <c r="DQ306" s="9"/>
      <c r="DR306" s="9"/>
      <c r="DS306" s="9"/>
      <c r="DT306" s="9"/>
      <c r="DU306" s="9"/>
      <c r="DV306" s="9"/>
      <c r="DW306" s="9"/>
      <c r="DX306" s="9"/>
      <c r="DY306" s="9"/>
      <c r="DZ306" s="9"/>
      <c r="EA306" s="9"/>
      <c r="EB306" s="9"/>
      <c r="EC306" s="9"/>
      <c r="ED306" s="9"/>
      <c r="EE306" s="9"/>
      <c r="EF306" s="9"/>
      <c r="EG306" s="9"/>
      <c r="EH306" s="9"/>
      <c r="EI306" s="9"/>
      <c r="EJ306" s="9"/>
      <c r="EK306" s="9"/>
      <c r="EL306" s="9"/>
      <c r="EM306" s="9"/>
      <c r="EN306" s="9"/>
      <c r="EO306" s="9"/>
      <c r="EP306" s="9"/>
      <c r="EQ306" s="9"/>
      <c r="ER306" s="9"/>
      <c r="ES306" s="9"/>
      <c r="ET306" s="9"/>
      <c r="EU306" s="9"/>
      <c r="EV306" s="9"/>
      <c r="EW306" s="9"/>
      <c r="EX306" s="9"/>
      <c r="EY306" s="9"/>
      <c r="EZ306" s="9"/>
      <c r="FA306" s="9"/>
      <c r="FB306" s="9"/>
      <c r="FC306" s="9"/>
      <c r="FD306" s="9"/>
      <c r="FE306" s="9"/>
      <c r="FF306" s="9"/>
      <c r="FG306" s="9"/>
      <c r="FH306" s="9"/>
      <c r="FI306" s="9"/>
    </row>
    <row r="307" spans="1:165" x14ac:dyDescent="0.2">
      <c r="A307" s="1" t="s">
        <v>682</v>
      </c>
      <c r="B307" s="1" t="s">
        <v>683</v>
      </c>
      <c r="C307" s="1" t="s">
        <v>684</v>
      </c>
      <c r="D307" s="1" t="str">
        <f>HYPERLINK("http://eros.fiehnlab.ucdavis.edu:8080/binbase-compound/bin/show/373730?db=rtx5","373730")</f>
        <v>373730</v>
      </c>
      <c r="E307" s="1" t="s">
        <v>685</v>
      </c>
      <c r="F307" s="1" t="s">
        <v>184</v>
      </c>
      <c r="G307" s="1" t="s">
        <v>184</v>
      </c>
      <c r="H307" s="1"/>
      <c r="I307" s="8">
        <v>9694</v>
      </c>
      <c r="J307" s="8">
        <v>10957</v>
      </c>
      <c r="K307" s="8">
        <v>12838</v>
      </c>
      <c r="L307" s="8">
        <v>10950</v>
      </c>
      <c r="M307" s="8">
        <v>13512</v>
      </c>
      <c r="N307" s="8">
        <v>11944</v>
      </c>
      <c r="O307" s="8">
        <v>121</v>
      </c>
      <c r="P307" s="8">
        <v>100</v>
      </c>
      <c r="Q307" s="8">
        <v>93</v>
      </c>
      <c r="R307" s="8">
        <v>115</v>
      </c>
      <c r="S307" s="8">
        <v>84</v>
      </c>
      <c r="T307" s="8">
        <v>136</v>
      </c>
      <c r="U307" s="8">
        <v>110</v>
      </c>
      <c r="V307" s="8">
        <v>118</v>
      </c>
      <c r="W307" s="8">
        <v>101</v>
      </c>
      <c r="X307" s="8">
        <v>141</v>
      </c>
      <c r="Y307" s="8">
        <v>68</v>
      </c>
      <c r="Z307" s="8">
        <v>115</v>
      </c>
      <c r="AA307" s="8">
        <v>70</v>
      </c>
      <c r="AB307" s="8">
        <v>84</v>
      </c>
      <c r="AC307" s="8">
        <v>107</v>
      </c>
      <c r="AD307" s="8">
        <v>92</v>
      </c>
      <c r="AE307" s="8">
        <v>133</v>
      </c>
      <c r="AF307" s="8">
        <v>83</v>
      </c>
      <c r="AG307" s="8">
        <v>92</v>
      </c>
      <c r="AH307" s="8">
        <v>107</v>
      </c>
      <c r="AI307" s="8">
        <v>80</v>
      </c>
      <c r="AJ307" s="8">
        <v>89</v>
      </c>
      <c r="AK307" s="8">
        <v>91</v>
      </c>
      <c r="AL307" s="8">
        <v>187</v>
      </c>
      <c r="AM307" s="8">
        <v>143</v>
      </c>
      <c r="AN307" s="8">
        <v>170</v>
      </c>
      <c r="AO307" s="8">
        <v>154</v>
      </c>
      <c r="AP307" s="8">
        <v>120</v>
      </c>
      <c r="AQ307" s="8">
        <v>209</v>
      </c>
      <c r="AR307" s="8">
        <v>165</v>
      </c>
      <c r="AS307" s="8">
        <v>108</v>
      </c>
      <c r="AT307" s="8">
        <v>104</v>
      </c>
      <c r="AU307" s="8">
        <v>154</v>
      </c>
      <c r="AV307" s="8">
        <v>119</v>
      </c>
      <c r="AW307" s="8">
        <v>111</v>
      </c>
      <c r="AX307" s="8">
        <v>93</v>
      </c>
      <c r="AY307" s="8">
        <v>125</v>
      </c>
      <c r="AZ307" s="8">
        <v>100</v>
      </c>
      <c r="BA307" s="8">
        <v>96</v>
      </c>
      <c r="BB307" s="8">
        <v>96</v>
      </c>
      <c r="BC307" s="8">
        <v>101</v>
      </c>
      <c r="BD307" s="8">
        <v>116</v>
      </c>
      <c r="BE307" s="8">
        <v>113</v>
      </c>
      <c r="BF307" s="8">
        <v>88</v>
      </c>
      <c r="BG307" s="8">
        <v>99</v>
      </c>
      <c r="BH307" s="8">
        <v>88</v>
      </c>
      <c r="BI307" s="8">
        <v>86</v>
      </c>
      <c r="BJ307" s="8">
        <v>106</v>
      </c>
      <c r="BK307" s="8">
        <v>99</v>
      </c>
      <c r="BL307" s="8">
        <v>124</v>
      </c>
      <c r="BM307" s="8">
        <v>98</v>
      </c>
      <c r="BN307" s="8">
        <v>72</v>
      </c>
      <c r="BO307" s="8">
        <v>123</v>
      </c>
      <c r="BP307" s="8">
        <v>136</v>
      </c>
      <c r="BQ307" s="8">
        <v>102</v>
      </c>
      <c r="BR307" s="8">
        <v>95</v>
      </c>
      <c r="BS307" s="8">
        <v>95</v>
      </c>
      <c r="BT307" s="8">
        <v>118</v>
      </c>
      <c r="BU307" s="8">
        <v>122</v>
      </c>
      <c r="BV307" s="8">
        <v>87</v>
      </c>
      <c r="BW307" s="8">
        <v>139</v>
      </c>
      <c r="BX307" s="8">
        <v>107</v>
      </c>
      <c r="BY307" s="8">
        <v>110</v>
      </c>
      <c r="BZ307" s="8">
        <v>128</v>
      </c>
      <c r="CA307" s="8">
        <v>103</v>
      </c>
      <c r="CB307" s="8">
        <v>99</v>
      </c>
      <c r="CC307" s="8">
        <v>83</v>
      </c>
      <c r="CD307" s="8">
        <v>69</v>
      </c>
      <c r="CE307" s="8">
        <v>73</v>
      </c>
      <c r="CF307" s="8">
        <v>79</v>
      </c>
      <c r="CG307" s="8">
        <v>64</v>
      </c>
      <c r="CH307" s="8">
        <v>93</v>
      </c>
      <c r="CJ307" s="9"/>
      <c r="CK307" s="9"/>
      <c r="CL307" s="9"/>
      <c r="CM307" s="9"/>
      <c r="CN307" s="9"/>
      <c r="CO307" s="9"/>
      <c r="CP307" s="9"/>
      <c r="CQ307" s="9"/>
      <c r="CR307" s="9"/>
      <c r="CS307" s="9"/>
      <c r="CT307" s="9"/>
      <c r="CU307" s="9"/>
      <c r="CV307" s="9"/>
      <c r="CW307" s="9"/>
      <c r="CX307" s="9"/>
      <c r="CY307" s="9"/>
      <c r="CZ307" s="9"/>
      <c r="DA307" s="9"/>
      <c r="DB307" s="9"/>
      <c r="DC307" s="9"/>
      <c r="DD307" s="9"/>
      <c r="DE307" s="9"/>
      <c r="DF307" s="9"/>
      <c r="DG307" s="9"/>
      <c r="DH307" s="9"/>
      <c r="DI307" s="9"/>
      <c r="DJ307" s="9"/>
      <c r="DK307" s="9"/>
      <c r="DL307" s="9"/>
      <c r="DM307" s="9"/>
      <c r="DN307" s="9"/>
      <c r="DO307" s="9"/>
      <c r="DP307" s="9"/>
      <c r="DQ307" s="9"/>
      <c r="DR307" s="9"/>
      <c r="DS307" s="9"/>
      <c r="DT307" s="9"/>
      <c r="DU307" s="9"/>
      <c r="DV307" s="9"/>
      <c r="DW307" s="9"/>
      <c r="DX307" s="9"/>
      <c r="DY307" s="9"/>
      <c r="DZ307" s="9"/>
      <c r="EA307" s="9"/>
      <c r="EB307" s="9"/>
      <c r="EC307" s="9"/>
      <c r="ED307" s="9"/>
      <c r="EE307" s="9"/>
      <c r="EF307" s="9"/>
      <c r="EG307" s="9"/>
      <c r="EH307" s="9"/>
      <c r="EI307" s="9"/>
      <c r="EJ307" s="9"/>
      <c r="EK307" s="9"/>
      <c r="EL307" s="9"/>
      <c r="EM307" s="9"/>
      <c r="EN307" s="9"/>
      <c r="EO307" s="9"/>
      <c r="EP307" s="9"/>
      <c r="EQ307" s="9"/>
      <c r="ER307" s="9"/>
      <c r="ES307" s="9"/>
      <c r="ET307" s="9"/>
      <c r="EU307" s="9"/>
      <c r="EV307" s="9"/>
      <c r="EW307" s="9"/>
      <c r="EX307" s="9"/>
      <c r="EY307" s="9"/>
      <c r="EZ307" s="9"/>
      <c r="FA307" s="9"/>
      <c r="FB307" s="9"/>
      <c r="FC307" s="9"/>
      <c r="FD307" s="9"/>
      <c r="FE307" s="9"/>
      <c r="FF307" s="9"/>
      <c r="FG307" s="9"/>
      <c r="FH307" s="9"/>
      <c r="FI307" s="9"/>
    </row>
    <row r="308" spans="1:165" x14ac:dyDescent="0.2">
      <c r="A308" s="1" t="s">
        <v>670</v>
      </c>
      <c r="B308" s="1" t="s">
        <v>671</v>
      </c>
      <c r="C308" s="1" t="s">
        <v>273</v>
      </c>
      <c r="D308" s="1" t="str">
        <f>HYPERLINK("http://eros.fiehnlab.ucdavis.edu:8080/binbase-compound/bin/show/373765?db=rtx5","373765")</f>
        <v>373765</v>
      </c>
      <c r="E308" s="1" t="s">
        <v>672</v>
      </c>
      <c r="F308" s="1" t="s">
        <v>184</v>
      </c>
      <c r="G308" s="1" t="s">
        <v>184</v>
      </c>
      <c r="H308" s="1"/>
      <c r="I308" s="8">
        <v>4539</v>
      </c>
      <c r="J308" s="8">
        <v>4126</v>
      </c>
      <c r="K308" s="8">
        <v>4974</v>
      </c>
      <c r="L308" s="8">
        <v>4918</v>
      </c>
      <c r="M308" s="8">
        <v>4791</v>
      </c>
      <c r="N308" s="8">
        <v>3991</v>
      </c>
      <c r="O308" s="8">
        <v>123</v>
      </c>
      <c r="P308" s="8">
        <v>138</v>
      </c>
      <c r="Q308" s="8">
        <v>203</v>
      </c>
      <c r="R308" s="8">
        <v>135</v>
      </c>
      <c r="S308" s="8">
        <v>180</v>
      </c>
      <c r="T308" s="8">
        <v>97</v>
      </c>
      <c r="U308" s="8">
        <v>92</v>
      </c>
      <c r="V308" s="8">
        <v>116</v>
      </c>
      <c r="W308" s="8">
        <v>127</v>
      </c>
      <c r="X308" s="8">
        <v>132</v>
      </c>
      <c r="Y308" s="8">
        <v>85</v>
      </c>
      <c r="Z308" s="8">
        <v>115</v>
      </c>
      <c r="AA308" s="8">
        <v>101</v>
      </c>
      <c r="AB308" s="8">
        <v>153</v>
      </c>
      <c r="AC308" s="8">
        <v>145</v>
      </c>
      <c r="AD308" s="8">
        <v>89</v>
      </c>
      <c r="AE308" s="8">
        <v>140</v>
      </c>
      <c r="AF308" s="8">
        <v>119</v>
      </c>
      <c r="AG308" s="8">
        <v>142</v>
      </c>
      <c r="AH308" s="8">
        <v>192</v>
      </c>
      <c r="AI308" s="8">
        <v>152</v>
      </c>
      <c r="AJ308" s="8">
        <v>146</v>
      </c>
      <c r="AK308" s="8">
        <v>122</v>
      </c>
      <c r="AL308" s="8">
        <v>220</v>
      </c>
      <c r="AM308" s="8">
        <v>159</v>
      </c>
      <c r="AN308" s="8">
        <v>135</v>
      </c>
      <c r="AO308" s="8">
        <v>114</v>
      </c>
      <c r="AP308" s="8">
        <v>137</v>
      </c>
      <c r="AQ308" s="8">
        <v>160</v>
      </c>
      <c r="AR308" s="8">
        <v>97</v>
      </c>
      <c r="AS308" s="8">
        <v>108</v>
      </c>
      <c r="AT308" s="8">
        <v>97</v>
      </c>
      <c r="AU308" s="8">
        <v>128</v>
      </c>
      <c r="AV308" s="8">
        <v>110</v>
      </c>
      <c r="AW308" s="8">
        <v>158</v>
      </c>
      <c r="AX308" s="8">
        <v>106</v>
      </c>
      <c r="AY308" s="8">
        <v>125</v>
      </c>
      <c r="AZ308" s="8">
        <v>76</v>
      </c>
      <c r="BA308" s="8">
        <v>104</v>
      </c>
      <c r="BB308" s="8">
        <v>78</v>
      </c>
      <c r="BC308" s="8">
        <v>137</v>
      </c>
      <c r="BD308" s="8">
        <v>90</v>
      </c>
      <c r="BE308" s="8">
        <v>156</v>
      </c>
      <c r="BF308" s="8">
        <v>99</v>
      </c>
      <c r="BG308" s="8">
        <v>93</v>
      </c>
      <c r="BH308" s="8">
        <v>102</v>
      </c>
      <c r="BI308" s="8">
        <v>186</v>
      </c>
      <c r="BJ308" s="8">
        <v>83</v>
      </c>
      <c r="BK308" s="8">
        <v>187</v>
      </c>
      <c r="BL308" s="8">
        <v>169</v>
      </c>
      <c r="BM308" s="8">
        <v>132</v>
      </c>
      <c r="BN308" s="8">
        <v>110</v>
      </c>
      <c r="BO308" s="8">
        <v>149</v>
      </c>
      <c r="BP308" s="8">
        <v>112</v>
      </c>
      <c r="BQ308" s="8">
        <v>173</v>
      </c>
      <c r="BR308" s="8">
        <v>140</v>
      </c>
      <c r="BS308" s="8">
        <v>141</v>
      </c>
      <c r="BT308" s="8">
        <v>135</v>
      </c>
      <c r="BU308" s="8">
        <v>133</v>
      </c>
      <c r="BV308" s="8">
        <v>98</v>
      </c>
      <c r="BW308" s="8">
        <v>128</v>
      </c>
      <c r="BX308" s="8">
        <v>118</v>
      </c>
      <c r="BY308" s="8">
        <v>109</v>
      </c>
      <c r="BZ308" s="8">
        <v>144</v>
      </c>
      <c r="CA308" s="8">
        <v>93</v>
      </c>
      <c r="CB308" s="8">
        <v>118</v>
      </c>
      <c r="CC308" s="8">
        <v>134</v>
      </c>
      <c r="CD308" s="8">
        <v>102</v>
      </c>
      <c r="CE308" s="8">
        <v>114</v>
      </c>
      <c r="CF308" s="8">
        <v>98</v>
      </c>
      <c r="CG308" s="8">
        <v>160</v>
      </c>
      <c r="CH308" s="8">
        <v>151</v>
      </c>
      <c r="CJ308" s="9"/>
      <c r="CK308" s="9"/>
      <c r="CL308" s="9"/>
      <c r="CM308" s="9"/>
      <c r="CN308" s="9"/>
      <c r="CO308" s="9"/>
      <c r="CP308" s="9"/>
      <c r="CQ308" s="9"/>
      <c r="CR308" s="9"/>
      <c r="CS308" s="9"/>
      <c r="CT308" s="9"/>
      <c r="CU308" s="9"/>
      <c r="CV308" s="9"/>
      <c r="CW308" s="9"/>
      <c r="CX308" s="9"/>
      <c r="CY308" s="9"/>
      <c r="CZ308" s="9"/>
      <c r="DA308" s="9"/>
      <c r="DB308" s="9"/>
      <c r="DC308" s="9"/>
      <c r="DD308" s="9"/>
      <c r="DE308" s="9"/>
      <c r="DF308" s="9"/>
      <c r="DG308" s="9"/>
      <c r="DH308" s="9"/>
      <c r="DI308" s="9"/>
      <c r="DJ308" s="9"/>
      <c r="DK308" s="9"/>
      <c r="DL308" s="9"/>
      <c r="DM308" s="9"/>
      <c r="DN308" s="9"/>
      <c r="DO308" s="9"/>
      <c r="DP308" s="9"/>
      <c r="DQ308" s="9"/>
      <c r="DR308" s="9"/>
      <c r="DS308" s="9"/>
      <c r="DT308" s="9"/>
      <c r="DU308" s="9"/>
      <c r="DV308" s="9"/>
      <c r="DW308" s="9"/>
      <c r="DX308" s="9"/>
      <c r="DY308" s="9"/>
      <c r="DZ308" s="9"/>
      <c r="EA308" s="9"/>
      <c r="EB308" s="9"/>
      <c r="EC308" s="9"/>
      <c r="ED308" s="9"/>
      <c r="EE308" s="9"/>
      <c r="EF308" s="9"/>
      <c r="EG308" s="9"/>
      <c r="EH308" s="9"/>
      <c r="EI308" s="9"/>
      <c r="EJ308" s="9"/>
      <c r="EK308" s="9"/>
      <c r="EL308" s="9"/>
      <c r="EM308" s="9"/>
      <c r="EN308" s="9"/>
      <c r="EO308" s="9"/>
      <c r="EP308" s="9"/>
      <c r="EQ308" s="9"/>
      <c r="ER308" s="9"/>
      <c r="ES308" s="9"/>
      <c r="ET308" s="9"/>
      <c r="EU308" s="9"/>
      <c r="EV308" s="9"/>
      <c r="EW308" s="9"/>
      <c r="EX308" s="9"/>
      <c r="EY308" s="9"/>
      <c r="EZ308" s="9"/>
      <c r="FA308" s="9"/>
      <c r="FB308" s="9"/>
      <c r="FC308" s="9"/>
      <c r="FD308" s="9"/>
      <c r="FE308" s="9"/>
      <c r="FF308" s="9"/>
      <c r="FG308" s="9"/>
      <c r="FH308" s="9"/>
      <c r="FI308" s="9"/>
    </row>
    <row r="309" spans="1:165" x14ac:dyDescent="0.2">
      <c r="A309" s="1" t="s">
        <v>679</v>
      </c>
      <c r="B309" s="1" t="s">
        <v>680</v>
      </c>
      <c r="C309" s="1" t="s">
        <v>493</v>
      </c>
      <c r="D309" s="1" t="str">
        <f>HYPERLINK("http://eros.fiehnlab.ucdavis.edu:8080/binbase-compound/bin/show/373741?db=rtx5","373741")</f>
        <v>373741</v>
      </c>
      <c r="E309" s="1" t="s">
        <v>681</v>
      </c>
      <c r="F309" s="1" t="s">
        <v>184</v>
      </c>
      <c r="G309" s="1" t="s">
        <v>184</v>
      </c>
      <c r="H309" s="1"/>
      <c r="I309" s="8">
        <v>2352</v>
      </c>
      <c r="J309" s="8">
        <v>2184</v>
      </c>
      <c r="K309" s="8">
        <v>2461</v>
      </c>
      <c r="L309" s="8">
        <v>2072</v>
      </c>
      <c r="M309" s="8">
        <v>2253</v>
      </c>
      <c r="N309" s="8">
        <v>2389</v>
      </c>
      <c r="O309" s="8">
        <v>100</v>
      </c>
      <c r="P309" s="8">
        <v>94</v>
      </c>
      <c r="Q309" s="8">
        <v>94</v>
      </c>
      <c r="R309" s="8">
        <v>108</v>
      </c>
      <c r="S309" s="8">
        <v>95</v>
      </c>
      <c r="T309" s="8">
        <v>109</v>
      </c>
      <c r="U309" s="8">
        <v>87</v>
      </c>
      <c r="V309" s="8">
        <v>83</v>
      </c>
      <c r="W309" s="8">
        <v>91</v>
      </c>
      <c r="X309" s="8">
        <v>95</v>
      </c>
      <c r="Y309" s="8">
        <v>59</v>
      </c>
      <c r="Z309" s="8">
        <v>71</v>
      </c>
      <c r="AA309" s="8">
        <v>69</v>
      </c>
      <c r="AB309" s="8">
        <v>85</v>
      </c>
      <c r="AC309" s="8">
        <v>82</v>
      </c>
      <c r="AD309" s="8">
        <v>85</v>
      </c>
      <c r="AE309" s="8">
        <v>100</v>
      </c>
      <c r="AF309" s="8">
        <v>75</v>
      </c>
      <c r="AG309" s="8">
        <v>111</v>
      </c>
      <c r="AH309" s="8">
        <v>97</v>
      </c>
      <c r="AI309" s="8">
        <v>78</v>
      </c>
      <c r="AJ309" s="8">
        <v>75</v>
      </c>
      <c r="AK309" s="8">
        <v>92</v>
      </c>
      <c r="AL309" s="8">
        <v>126</v>
      </c>
      <c r="AM309" s="8">
        <v>104</v>
      </c>
      <c r="AN309" s="8">
        <v>135</v>
      </c>
      <c r="AO309" s="8">
        <v>104</v>
      </c>
      <c r="AP309" s="8">
        <v>125</v>
      </c>
      <c r="AQ309" s="8">
        <v>89</v>
      </c>
      <c r="AR309" s="8">
        <v>77</v>
      </c>
      <c r="AS309" s="8">
        <v>86</v>
      </c>
      <c r="AT309" s="8">
        <v>80</v>
      </c>
      <c r="AU309" s="8">
        <v>69</v>
      </c>
      <c r="AV309" s="8">
        <v>107</v>
      </c>
      <c r="AW309" s="8">
        <v>104</v>
      </c>
      <c r="AX309" s="8">
        <v>90</v>
      </c>
      <c r="AY309" s="8">
        <v>150</v>
      </c>
      <c r="AZ309" s="8">
        <v>115</v>
      </c>
      <c r="BA309" s="8">
        <v>107</v>
      </c>
      <c r="BB309" s="8">
        <v>69</v>
      </c>
      <c r="BC309" s="8">
        <v>90</v>
      </c>
      <c r="BD309" s="8">
        <v>114</v>
      </c>
      <c r="BE309" s="8">
        <v>117</v>
      </c>
      <c r="BF309" s="8">
        <v>79</v>
      </c>
      <c r="BG309" s="8">
        <v>104</v>
      </c>
      <c r="BH309" s="8">
        <v>73</v>
      </c>
      <c r="BI309" s="8">
        <v>73</v>
      </c>
      <c r="BJ309" s="8">
        <v>62</v>
      </c>
      <c r="BK309" s="8">
        <v>77</v>
      </c>
      <c r="BL309" s="8">
        <v>124</v>
      </c>
      <c r="BM309" s="8">
        <v>93</v>
      </c>
      <c r="BN309" s="8">
        <v>56</v>
      </c>
      <c r="BO309" s="8">
        <v>82</v>
      </c>
      <c r="BP309" s="8">
        <v>97</v>
      </c>
      <c r="BQ309" s="8">
        <v>103</v>
      </c>
      <c r="BR309" s="8">
        <v>88</v>
      </c>
      <c r="BS309" s="8">
        <v>97</v>
      </c>
      <c r="BT309" s="8">
        <v>87</v>
      </c>
      <c r="BU309" s="8">
        <v>82</v>
      </c>
      <c r="BV309" s="8">
        <v>70</v>
      </c>
      <c r="BW309" s="8">
        <v>95</v>
      </c>
      <c r="BX309" s="8">
        <v>122</v>
      </c>
      <c r="BY309" s="8">
        <v>89</v>
      </c>
      <c r="BZ309" s="8">
        <v>126</v>
      </c>
      <c r="CA309" s="8">
        <v>87</v>
      </c>
      <c r="CB309" s="8">
        <v>66</v>
      </c>
      <c r="CC309" s="8">
        <v>54</v>
      </c>
      <c r="CD309" s="8">
        <v>100</v>
      </c>
      <c r="CE309" s="8">
        <v>84</v>
      </c>
      <c r="CF309" s="8">
        <v>96</v>
      </c>
      <c r="CG309" s="8">
        <v>68</v>
      </c>
      <c r="CH309" s="8">
        <v>73</v>
      </c>
      <c r="CJ309" s="9"/>
      <c r="CK309" s="9"/>
      <c r="CL309" s="9"/>
      <c r="CM309" s="9"/>
      <c r="CN309" s="9"/>
      <c r="CO309" s="9"/>
      <c r="CP309" s="9"/>
      <c r="CQ309" s="9"/>
      <c r="CR309" s="9"/>
      <c r="CS309" s="9"/>
      <c r="CT309" s="9"/>
      <c r="CU309" s="9"/>
      <c r="CV309" s="9"/>
      <c r="CW309" s="9"/>
      <c r="CX309" s="9"/>
      <c r="CY309" s="9"/>
      <c r="CZ309" s="9"/>
      <c r="DA309" s="9"/>
      <c r="DB309" s="9"/>
      <c r="DC309" s="9"/>
      <c r="DD309" s="9"/>
      <c r="DE309" s="9"/>
      <c r="DF309" s="9"/>
      <c r="DG309" s="9"/>
      <c r="DH309" s="9"/>
      <c r="DI309" s="9"/>
      <c r="DJ309" s="9"/>
      <c r="DK309" s="9"/>
      <c r="DL309" s="9"/>
      <c r="DM309" s="9"/>
      <c r="DN309" s="9"/>
      <c r="DO309" s="9"/>
      <c r="DP309" s="9"/>
      <c r="DQ309" s="9"/>
      <c r="DR309" s="9"/>
      <c r="DS309" s="9"/>
      <c r="DT309" s="9"/>
      <c r="DU309" s="9"/>
      <c r="DV309" s="9"/>
      <c r="DW309" s="9"/>
      <c r="DX309" s="9"/>
      <c r="DY309" s="9"/>
      <c r="DZ309" s="9"/>
      <c r="EA309" s="9"/>
      <c r="EB309" s="9"/>
      <c r="EC309" s="9"/>
      <c r="ED309" s="9"/>
      <c r="EE309" s="9"/>
      <c r="EF309" s="9"/>
      <c r="EG309" s="9"/>
      <c r="EH309" s="9"/>
      <c r="EI309" s="9"/>
      <c r="EJ309" s="9"/>
      <c r="EK309" s="9"/>
      <c r="EL309" s="9"/>
      <c r="EM309" s="9"/>
      <c r="EN309" s="9"/>
      <c r="EO309" s="9"/>
      <c r="EP309" s="9"/>
      <c r="EQ309" s="9"/>
      <c r="ER309" s="9"/>
      <c r="ES309" s="9"/>
      <c r="ET309" s="9"/>
      <c r="EU309" s="9"/>
      <c r="EV309" s="9"/>
      <c r="EW309" s="9"/>
      <c r="EX309" s="9"/>
      <c r="EY309" s="9"/>
      <c r="EZ309" s="9"/>
      <c r="FA309" s="9"/>
      <c r="FB309" s="9"/>
      <c r="FC309" s="9"/>
      <c r="FD309" s="9"/>
      <c r="FE309" s="9"/>
      <c r="FF309" s="9"/>
      <c r="FG309" s="9"/>
      <c r="FH309" s="9"/>
      <c r="FI309" s="9"/>
    </row>
    <row r="310" spans="1:165" x14ac:dyDescent="0.2">
      <c r="A310" s="1" t="s">
        <v>663</v>
      </c>
      <c r="B310" s="1" t="s">
        <v>664</v>
      </c>
      <c r="C310" s="1" t="s">
        <v>665</v>
      </c>
      <c r="D310" s="1" t="str">
        <f>HYPERLINK("http://eros.fiehnlab.ucdavis.edu:8080/binbase-compound/bin/show/373802?db=rtx5","373802")</f>
        <v>373802</v>
      </c>
      <c r="E310" s="1" t="s">
        <v>666</v>
      </c>
      <c r="F310" s="1" t="s">
        <v>184</v>
      </c>
      <c r="G310" s="1" t="s">
        <v>184</v>
      </c>
      <c r="H310" s="1"/>
      <c r="I310" s="8">
        <v>29397</v>
      </c>
      <c r="J310" s="8">
        <v>27678</v>
      </c>
      <c r="K310" s="8">
        <v>44694</v>
      </c>
      <c r="L310" s="8">
        <v>36394</v>
      </c>
      <c r="M310" s="8">
        <v>28494</v>
      </c>
      <c r="N310" s="8">
        <v>35471</v>
      </c>
      <c r="O310" s="8">
        <v>1407</v>
      </c>
      <c r="P310" s="8">
        <v>1617</v>
      </c>
      <c r="Q310" s="8">
        <v>767</v>
      </c>
      <c r="R310" s="8">
        <v>775</v>
      </c>
      <c r="S310" s="8">
        <v>765</v>
      </c>
      <c r="T310" s="8">
        <v>827</v>
      </c>
      <c r="U310" s="8">
        <v>995</v>
      </c>
      <c r="V310" s="8">
        <v>1116</v>
      </c>
      <c r="W310" s="8">
        <v>1064</v>
      </c>
      <c r="X310" s="8">
        <v>1475</v>
      </c>
      <c r="Y310" s="8">
        <v>680</v>
      </c>
      <c r="Z310" s="8">
        <v>986</v>
      </c>
      <c r="AA310" s="8">
        <v>1061</v>
      </c>
      <c r="AB310" s="8">
        <v>787</v>
      </c>
      <c r="AC310" s="8">
        <v>743</v>
      </c>
      <c r="AD310" s="8">
        <v>776</v>
      </c>
      <c r="AE310" s="8">
        <v>794</v>
      </c>
      <c r="AF310" s="8">
        <v>1153</v>
      </c>
      <c r="AG310" s="8">
        <v>1054</v>
      </c>
      <c r="AH310" s="8">
        <v>614</v>
      </c>
      <c r="AI310" s="8">
        <v>586</v>
      </c>
      <c r="AJ310" s="8">
        <v>1139</v>
      </c>
      <c r="AK310" s="8">
        <v>568</v>
      </c>
      <c r="AL310" s="8">
        <v>780</v>
      </c>
      <c r="AM310" s="8">
        <v>1024</v>
      </c>
      <c r="AN310" s="8">
        <v>1256</v>
      </c>
      <c r="AO310" s="8">
        <v>884</v>
      </c>
      <c r="AP310" s="8">
        <v>1281</v>
      </c>
      <c r="AQ310" s="8">
        <v>1226</v>
      </c>
      <c r="AR310" s="8">
        <v>995</v>
      </c>
      <c r="AS310" s="8">
        <v>917</v>
      </c>
      <c r="AT310" s="8">
        <v>646</v>
      </c>
      <c r="AU310" s="8">
        <v>1072</v>
      </c>
      <c r="AV310" s="8">
        <v>911</v>
      </c>
      <c r="AW310" s="8">
        <v>922</v>
      </c>
      <c r="AX310" s="8">
        <v>992</v>
      </c>
      <c r="AY310" s="8">
        <v>673</v>
      </c>
      <c r="AZ310" s="8">
        <v>750</v>
      </c>
      <c r="BA310" s="8">
        <v>885</v>
      </c>
      <c r="BB310" s="8">
        <v>764</v>
      </c>
      <c r="BC310" s="8">
        <v>934</v>
      </c>
      <c r="BD310" s="8">
        <v>566</v>
      </c>
      <c r="BE310" s="8">
        <v>1036</v>
      </c>
      <c r="BF310" s="8">
        <v>880</v>
      </c>
      <c r="BG310" s="8">
        <v>976</v>
      </c>
      <c r="BH310" s="8">
        <v>855</v>
      </c>
      <c r="BI310" s="8">
        <v>1081</v>
      </c>
      <c r="BJ310" s="8">
        <v>769</v>
      </c>
      <c r="BK310" s="8">
        <v>6311</v>
      </c>
      <c r="BL310" s="8">
        <v>3803</v>
      </c>
      <c r="BM310" s="8">
        <v>4144</v>
      </c>
      <c r="BN310" s="8">
        <v>18092</v>
      </c>
      <c r="BO310" s="8">
        <v>5171</v>
      </c>
      <c r="BP310" s="8">
        <v>3583</v>
      </c>
      <c r="BQ310" s="8">
        <v>5910</v>
      </c>
      <c r="BR310" s="8">
        <v>5509</v>
      </c>
      <c r="BS310" s="8">
        <v>5128</v>
      </c>
      <c r="BT310" s="8">
        <v>5294</v>
      </c>
      <c r="BU310" s="8">
        <v>5134</v>
      </c>
      <c r="BV310" s="8">
        <v>5511</v>
      </c>
      <c r="BW310" s="8">
        <v>2697</v>
      </c>
      <c r="BX310" s="8">
        <v>2751</v>
      </c>
      <c r="BY310" s="8">
        <v>2449</v>
      </c>
      <c r="BZ310" s="8">
        <v>2670</v>
      </c>
      <c r="CA310" s="8">
        <v>2819</v>
      </c>
      <c r="CB310" s="8">
        <v>13333</v>
      </c>
      <c r="CC310" s="8">
        <v>10009</v>
      </c>
      <c r="CD310" s="8">
        <v>3005</v>
      </c>
      <c r="CE310" s="8">
        <v>4404</v>
      </c>
      <c r="CF310" s="8">
        <v>4957</v>
      </c>
      <c r="CG310" s="8">
        <v>3463</v>
      </c>
      <c r="CH310" s="8">
        <v>5146</v>
      </c>
      <c r="CJ310" s="9"/>
      <c r="CK310" s="9"/>
      <c r="CL310" s="9"/>
      <c r="CM310" s="9"/>
      <c r="CN310" s="9"/>
      <c r="CO310" s="9"/>
      <c r="CP310" s="9"/>
      <c r="CQ310" s="9"/>
      <c r="CR310" s="9"/>
      <c r="CS310" s="9"/>
      <c r="CT310" s="9"/>
      <c r="CU310" s="9"/>
      <c r="CV310" s="9"/>
      <c r="CW310" s="9"/>
      <c r="CX310" s="9"/>
      <c r="CY310" s="9"/>
      <c r="CZ310" s="9"/>
      <c r="DA310" s="9"/>
      <c r="DB310" s="9"/>
      <c r="DC310" s="9"/>
      <c r="DD310" s="9"/>
      <c r="DE310" s="9"/>
      <c r="DF310" s="9"/>
      <c r="DG310" s="9"/>
      <c r="DH310" s="9"/>
      <c r="DI310" s="9"/>
      <c r="DJ310" s="9"/>
      <c r="DK310" s="9"/>
      <c r="DL310" s="9"/>
      <c r="DM310" s="9"/>
      <c r="DN310" s="9"/>
      <c r="DO310" s="9"/>
      <c r="DP310" s="9"/>
      <c r="DQ310" s="9"/>
      <c r="DR310" s="9"/>
      <c r="DS310" s="9"/>
      <c r="DT310" s="9"/>
      <c r="DU310" s="9"/>
      <c r="DV310" s="9"/>
      <c r="DW310" s="9"/>
      <c r="DX310" s="9"/>
      <c r="DY310" s="9"/>
      <c r="DZ310" s="9"/>
      <c r="EA310" s="9"/>
      <c r="EB310" s="9"/>
      <c r="EC310" s="9"/>
      <c r="ED310" s="9"/>
      <c r="EE310" s="9"/>
      <c r="EF310" s="9"/>
      <c r="EG310" s="9"/>
      <c r="EH310" s="9"/>
      <c r="EI310" s="9"/>
      <c r="EJ310" s="9"/>
      <c r="EK310" s="9"/>
      <c r="EL310" s="9"/>
      <c r="EM310" s="9"/>
      <c r="EN310" s="9"/>
      <c r="EO310" s="9"/>
      <c r="EP310" s="9"/>
      <c r="EQ310" s="9"/>
      <c r="ER310" s="9"/>
      <c r="ES310" s="9"/>
      <c r="ET310" s="9"/>
      <c r="EU310" s="9"/>
      <c r="EV310" s="9"/>
      <c r="EW310" s="9"/>
      <c r="EX310" s="9"/>
      <c r="EY310" s="9"/>
      <c r="EZ310" s="9"/>
      <c r="FA310" s="9"/>
      <c r="FB310" s="9"/>
      <c r="FC310" s="9"/>
      <c r="FD310" s="9"/>
      <c r="FE310" s="9"/>
      <c r="FF310" s="9"/>
      <c r="FG310" s="9"/>
      <c r="FH310" s="9"/>
      <c r="FI310" s="9"/>
    </row>
    <row r="311" spans="1:165" x14ac:dyDescent="0.2">
      <c r="A311" s="1" t="s">
        <v>861</v>
      </c>
      <c r="B311" s="1" t="s">
        <v>862</v>
      </c>
      <c r="C311" s="1" t="s">
        <v>617</v>
      </c>
      <c r="D311" s="1" t="str">
        <f>HYPERLINK("http://eros.fiehnlab.ucdavis.edu:8080/binbase-compound/bin/show/310897?db=rtx5","310897")</f>
        <v>310897</v>
      </c>
      <c r="E311" s="1" t="s">
        <v>863</v>
      </c>
      <c r="F311" s="1" t="s">
        <v>184</v>
      </c>
      <c r="G311" s="1" t="s">
        <v>184</v>
      </c>
      <c r="H311" s="1"/>
      <c r="I311" s="8">
        <v>1325</v>
      </c>
      <c r="J311" s="8">
        <v>1460</v>
      </c>
      <c r="K311" s="8">
        <v>978</v>
      </c>
      <c r="L311" s="8">
        <v>1076</v>
      </c>
      <c r="M311" s="8">
        <v>1533</v>
      </c>
      <c r="N311" s="8">
        <v>1408</v>
      </c>
      <c r="O311" s="8">
        <v>115</v>
      </c>
      <c r="P311" s="8">
        <v>133</v>
      </c>
      <c r="Q311" s="8">
        <v>175</v>
      </c>
      <c r="R311" s="8">
        <v>140</v>
      </c>
      <c r="S311" s="8">
        <v>166</v>
      </c>
      <c r="T311" s="8">
        <v>123</v>
      </c>
      <c r="U311" s="8">
        <v>120</v>
      </c>
      <c r="V311" s="8">
        <v>109</v>
      </c>
      <c r="W311" s="8">
        <v>119</v>
      </c>
      <c r="X311" s="8">
        <v>137</v>
      </c>
      <c r="Y311" s="8">
        <v>116</v>
      </c>
      <c r="Z311" s="8">
        <v>103</v>
      </c>
      <c r="AA311" s="8">
        <v>137</v>
      </c>
      <c r="AB311" s="8">
        <v>121</v>
      </c>
      <c r="AC311" s="8">
        <v>156</v>
      </c>
      <c r="AD311" s="8">
        <v>141</v>
      </c>
      <c r="AE311" s="8">
        <v>141</v>
      </c>
      <c r="AF311" s="8">
        <v>109</v>
      </c>
      <c r="AG311" s="8">
        <v>149</v>
      </c>
      <c r="AH311" s="8">
        <v>133</v>
      </c>
      <c r="AI311" s="8">
        <v>117</v>
      </c>
      <c r="AJ311" s="8">
        <v>163</v>
      </c>
      <c r="AK311" s="8">
        <v>116</v>
      </c>
      <c r="AL311" s="8">
        <v>165</v>
      </c>
      <c r="AM311" s="8">
        <v>185</v>
      </c>
      <c r="AN311" s="8">
        <v>168</v>
      </c>
      <c r="AO311" s="8">
        <v>195</v>
      </c>
      <c r="AP311" s="8">
        <v>198</v>
      </c>
      <c r="AQ311" s="8">
        <v>158</v>
      </c>
      <c r="AR311" s="8">
        <v>124</v>
      </c>
      <c r="AS311" s="8">
        <v>198</v>
      </c>
      <c r="AT311" s="8">
        <v>117</v>
      </c>
      <c r="AU311" s="8">
        <v>128</v>
      </c>
      <c r="AV311" s="8">
        <v>117</v>
      </c>
      <c r="AW311" s="8">
        <v>150</v>
      </c>
      <c r="AX311" s="8">
        <v>142</v>
      </c>
      <c r="AY311" s="8">
        <v>201</v>
      </c>
      <c r="AZ311" s="8">
        <v>169</v>
      </c>
      <c r="BA311" s="8">
        <v>118</v>
      </c>
      <c r="BB311" s="8">
        <v>159</v>
      </c>
      <c r="BC311" s="8">
        <v>189</v>
      </c>
      <c r="BD311" s="8">
        <v>105</v>
      </c>
      <c r="BE311" s="8">
        <v>148</v>
      </c>
      <c r="BF311" s="8">
        <v>117</v>
      </c>
      <c r="BG311" s="8">
        <v>123</v>
      </c>
      <c r="BH311" s="8">
        <v>116</v>
      </c>
      <c r="BI311" s="8">
        <v>121</v>
      </c>
      <c r="BJ311" s="8">
        <v>158</v>
      </c>
      <c r="BK311" s="8">
        <v>165</v>
      </c>
      <c r="BL311" s="8">
        <v>152</v>
      </c>
      <c r="BM311" s="8">
        <v>147</v>
      </c>
      <c r="BN311" s="8">
        <v>173</v>
      </c>
      <c r="BO311" s="8">
        <v>136</v>
      </c>
      <c r="BP311" s="8">
        <v>180</v>
      </c>
      <c r="BQ311" s="8">
        <v>170</v>
      </c>
      <c r="BR311" s="8">
        <v>170</v>
      </c>
      <c r="BS311" s="8">
        <v>117</v>
      </c>
      <c r="BT311" s="8">
        <v>130</v>
      </c>
      <c r="BU311" s="8">
        <v>134</v>
      </c>
      <c r="BV311" s="8">
        <v>111</v>
      </c>
      <c r="BW311" s="8">
        <v>141</v>
      </c>
      <c r="BX311" s="8">
        <v>108</v>
      </c>
      <c r="BY311" s="8">
        <v>139</v>
      </c>
      <c r="BZ311" s="8">
        <v>118</v>
      </c>
      <c r="CA311" s="8">
        <v>135</v>
      </c>
      <c r="CB311" s="8">
        <v>153</v>
      </c>
      <c r="CC311" s="8">
        <v>99</v>
      </c>
      <c r="CD311" s="8">
        <v>557</v>
      </c>
      <c r="CE311" s="8">
        <v>132</v>
      </c>
      <c r="CF311" s="8">
        <v>91</v>
      </c>
      <c r="CG311" s="8">
        <v>144</v>
      </c>
      <c r="CH311" s="8">
        <v>130</v>
      </c>
      <c r="CJ311" s="9"/>
      <c r="CK311" s="9"/>
      <c r="CL311" s="9"/>
      <c r="CM311" s="9"/>
      <c r="CN311" s="9"/>
      <c r="CO311" s="9"/>
      <c r="CP311" s="9"/>
      <c r="CQ311" s="9"/>
      <c r="CR311" s="9"/>
      <c r="CS311" s="9"/>
      <c r="CT311" s="9"/>
      <c r="CU311" s="9"/>
      <c r="CV311" s="9"/>
      <c r="CW311" s="9"/>
      <c r="CX311" s="9"/>
      <c r="CY311" s="9"/>
      <c r="CZ311" s="9"/>
      <c r="DA311" s="9"/>
      <c r="DB311" s="9"/>
      <c r="DC311" s="9"/>
      <c r="DD311" s="9"/>
      <c r="DE311" s="9"/>
      <c r="DF311" s="9"/>
      <c r="DG311" s="9"/>
      <c r="DH311" s="9"/>
      <c r="DI311" s="9"/>
      <c r="DJ311" s="9"/>
      <c r="DK311" s="9"/>
      <c r="DL311" s="9"/>
      <c r="DM311" s="9"/>
      <c r="DN311" s="9"/>
      <c r="DO311" s="9"/>
      <c r="DP311" s="9"/>
      <c r="DQ311" s="9"/>
      <c r="DR311" s="9"/>
      <c r="DS311" s="9"/>
      <c r="DT311" s="9"/>
      <c r="DU311" s="9"/>
      <c r="DV311" s="9"/>
      <c r="DW311" s="9"/>
      <c r="DX311" s="9"/>
      <c r="DY311" s="9"/>
      <c r="DZ311" s="9"/>
      <c r="EA311" s="9"/>
      <c r="EB311" s="9"/>
      <c r="EC311" s="9"/>
      <c r="ED311" s="9"/>
      <c r="EE311" s="9"/>
      <c r="EF311" s="9"/>
      <c r="EG311" s="9"/>
      <c r="EH311" s="9"/>
      <c r="EI311" s="9"/>
      <c r="EJ311" s="9"/>
      <c r="EK311" s="9"/>
      <c r="EL311" s="9"/>
      <c r="EM311" s="9"/>
      <c r="EN311" s="9"/>
      <c r="EO311" s="9"/>
      <c r="EP311" s="9"/>
      <c r="EQ311" s="9"/>
      <c r="ER311" s="9"/>
      <c r="ES311" s="9"/>
      <c r="ET311" s="9"/>
      <c r="EU311" s="9"/>
      <c r="EV311" s="9"/>
      <c r="EW311" s="9"/>
      <c r="EX311" s="9"/>
      <c r="EY311" s="9"/>
      <c r="EZ311" s="9"/>
      <c r="FA311" s="9"/>
      <c r="FB311" s="9"/>
      <c r="FC311" s="9"/>
      <c r="FD311" s="9"/>
      <c r="FE311" s="9"/>
      <c r="FF311" s="9"/>
      <c r="FG311" s="9"/>
      <c r="FH311" s="9"/>
      <c r="FI311" s="9"/>
    </row>
    <row r="312" spans="1:165" x14ac:dyDescent="0.2">
      <c r="A312" s="1" t="s">
        <v>1126</v>
      </c>
      <c r="B312" s="1" t="s">
        <v>1127</v>
      </c>
      <c r="C312" s="1" t="s">
        <v>371</v>
      </c>
      <c r="D312" s="1" t="str">
        <f>HYPERLINK("http://eros.fiehnlab.ucdavis.edu:8080/binbase-compound/bin/show/229010?db=rtx5","229010")</f>
        <v>229010</v>
      </c>
      <c r="E312" s="1" t="s">
        <v>1128</v>
      </c>
      <c r="F312" s="1" t="s">
        <v>184</v>
      </c>
      <c r="G312" s="1" t="s">
        <v>184</v>
      </c>
      <c r="H312" s="1"/>
      <c r="I312" s="8">
        <v>9822</v>
      </c>
      <c r="J312" s="8">
        <v>11580</v>
      </c>
      <c r="K312" s="8">
        <v>11163</v>
      </c>
      <c r="L312" s="8">
        <v>11088</v>
      </c>
      <c r="M312" s="8">
        <v>12126</v>
      </c>
      <c r="N312" s="8">
        <v>14236</v>
      </c>
      <c r="O312" s="8">
        <v>1796</v>
      </c>
      <c r="P312" s="8">
        <v>536</v>
      </c>
      <c r="Q312" s="8">
        <v>827</v>
      </c>
      <c r="R312" s="8">
        <v>506</v>
      </c>
      <c r="S312" s="8">
        <v>585</v>
      </c>
      <c r="T312" s="8">
        <v>275</v>
      </c>
      <c r="U312" s="8">
        <v>302</v>
      </c>
      <c r="V312" s="8">
        <v>707</v>
      </c>
      <c r="W312" s="8">
        <v>462</v>
      </c>
      <c r="X312" s="8">
        <v>1720</v>
      </c>
      <c r="Y312" s="8">
        <v>946</v>
      </c>
      <c r="Z312" s="8">
        <v>692</v>
      </c>
      <c r="AA312" s="8">
        <v>970</v>
      </c>
      <c r="AB312" s="8">
        <v>347</v>
      </c>
      <c r="AC312" s="8">
        <v>209</v>
      </c>
      <c r="AD312" s="8">
        <v>178</v>
      </c>
      <c r="AE312" s="8">
        <v>303</v>
      </c>
      <c r="AF312" s="8">
        <v>1829</v>
      </c>
      <c r="AG312" s="8">
        <v>1284</v>
      </c>
      <c r="AH312" s="8">
        <v>390</v>
      </c>
      <c r="AI312" s="8">
        <v>680</v>
      </c>
      <c r="AJ312" s="8">
        <v>365</v>
      </c>
      <c r="AK312" s="8">
        <v>614</v>
      </c>
      <c r="AL312" s="8">
        <v>693</v>
      </c>
      <c r="AM312" s="8">
        <v>320</v>
      </c>
      <c r="AN312" s="8">
        <v>351</v>
      </c>
      <c r="AO312" s="8">
        <v>479</v>
      </c>
      <c r="AP312" s="8">
        <v>344</v>
      </c>
      <c r="AQ312" s="8">
        <v>373</v>
      </c>
      <c r="AR312" s="8">
        <v>593</v>
      </c>
      <c r="AS312" s="8">
        <v>849</v>
      </c>
      <c r="AT312" s="8">
        <v>400</v>
      </c>
      <c r="AU312" s="8">
        <v>373</v>
      </c>
      <c r="AV312" s="8">
        <v>707</v>
      </c>
      <c r="AW312" s="8">
        <v>246</v>
      </c>
      <c r="AX312" s="8">
        <v>340</v>
      </c>
      <c r="AY312" s="8">
        <v>209</v>
      </c>
      <c r="AZ312" s="8">
        <v>523</v>
      </c>
      <c r="BA312" s="8">
        <v>171</v>
      </c>
      <c r="BB312" s="8">
        <v>132</v>
      </c>
      <c r="BC312" s="8">
        <v>208</v>
      </c>
      <c r="BD312" s="8">
        <v>216</v>
      </c>
      <c r="BE312" s="8">
        <v>1122</v>
      </c>
      <c r="BF312" s="8">
        <v>829</v>
      </c>
      <c r="BG312" s="8">
        <v>563</v>
      </c>
      <c r="BH312" s="8">
        <v>162</v>
      </c>
      <c r="BI312" s="8">
        <v>739</v>
      </c>
      <c r="BJ312" s="8">
        <v>307</v>
      </c>
      <c r="BK312" s="8">
        <v>1118</v>
      </c>
      <c r="BL312" s="8">
        <v>810</v>
      </c>
      <c r="BM312" s="8">
        <v>757</v>
      </c>
      <c r="BN312" s="8">
        <v>9086</v>
      </c>
      <c r="BO312" s="8">
        <v>2479</v>
      </c>
      <c r="BP312" s="8">
        <v>1142</v>
      </c>
      <c r="BQ312" s="8">
        <v>7507</v>
      </c>
      <c r="BR312" s="8">
        <v>30395</v>
      </c>
      <c r="BS312" s="8">
        <v>555</v>
      </c>
      <c r="BT312" s="8">
        <v>3714</v>
      </c>
      <c r="BU312" s="8">
        <v>7441</v>
      </c>
      <c r="BV312" s="8">
        <v>445</v>
      </c>
      <c r="BW312" s="8">
        <v>12653</v>
      </c>
      <c r="BX312" s="8">
        <v>443</v>
      </c>
      <c r="BY312" s="8">
        <v>602</v>
      </c>
      <c r="BZ312" s="8">
        <v>749</v>
      </c>
      <c r="CA312" s="8">
        <v>3839</v>
      </c>
      <c r="CB312" s="8">
        <v>5563</v>
      </c>
      <c r="CC312" s="8">
        <v>27971</v>
      </c>
      <c r="CD312" s="8">
        <v>3510</v>
      </c>
      <c r="CE312" s="8">
        <v>1698</v>
      </c>
      <c r="CF312" s="8">
        <v>2247</v>
      </c>
      <c r="CG312" s="8">
        <v>1129</v>
      </c>
      <c r="CH312" s="8">
        <v>1619</v>
      </c>
      <c r="CJ312" s="9"/>
      <c r="CK312" s="9"/>
      <c r="CL312" s="9"/>
      <c r="CM312" s="9"/>
      <c r="CN312" s="9"/>
      <c r="CO312" s="9"/>
      <c r="CP312" s="9"/>
      <c r="CQ312" s="9"/>
      <c r="CR312" s="9"/>
      <c r="CS312" s="9"/>
      <c r="CT312" s="9"/>
      <c r="CU312" s="9"/>
      <c r="CV312" s="9"/>
      <c r="CW312" s="9"/>
      <c r="CX312" s="9"/>
      <c r="CY312" s="9"/>
      <c r="CZ312" s="9"/>
      <c r="DA312" s="9"/>
      <c r="DB312" s="9"/>
      <c r="DC312" s="9"/>
      <c r="DD312" s="9"/>
      <c r="DE312" s="9"/>
      <c r="DF312" s="9"/>
      <c r="DG312" s="9"/>
      <c r="DH312" s="9"/>
      <c r="DI312" s="9"/>
      <c r="DJ312" s="9"/>
      <c r="DK312" s="9"/>
      <c r="DL312" s="9"/>
      <c r="DM312" s="9"/>
      <c r="DN312" s="9"/>
      <c r="DO312" s="9"/>
      <c r="DP312" s="9"/>
      <c r="DQ312" s="9"/>
      <c r="DR312" s="9"/>
      <c r="DS312" s="9"/>
      <c r="DT312" s="9"/>
      <c r="DU312" s="9"/>
      <c r="DV312" s="9"/>
      <c r="DW312" s="9"/>
      <c r="DX312" s="9"/>
      <c r="DY312" s="9"/>
      <c r="DZ312" s="9"/>
      <c r="EA312" s="9"/>
      <c r="EB312" s="9"/>
      <c r="EC312" s="9"/>
      <c r="ED312" s="9"/>
      <c r="EE312" s="9"/>
      <c r="EF312" s="9"/>
      <c r="EG312" s="9"/>
      <c r="EH312" s="9"/>
      <c r="EI312" s="9"/>
      <c r="EJ312" s="9"/>
      <c r="EK312" s="9"/>
      <c r="EL312" s="9"/>
      <c r="EM312" s="9"/>
      <c r="EN312" s="9"/>
      <c r="EO312" s="9"/>
      <c r="EP312" s="9"/>
      <c r="EQ312" s="9"/>
      <c r="ER312" s="9"/>
      <c r="ES312" s="9"/>
      <c r="ET312" s="9"/>
      <c r="EU312" s="9"/>
      <c r="EV312" s="9"/>
      <c r="EW312" s="9"/>
      <c r="EX312" s="9"/>
      <c r="EY312" s="9"/>
      <c r="EZ312" s="9"/>
      <c r="FA312" s="9"/>
      <c r="FB312" s="9"/>
      <c r="FC312" s="9"/>
      <c r="FD312" s="9"/>
      <c r="FE312" s="9"/>
      <c r="FF312" s="9"/>
      <c r="FG312" s="9"/>
      <c r="FH312" s="9"/>
      <c r="FI312" s="9"/>
    </row>
    <row r="313" spans="1:165" x14ac:dyDescent="0.2">
      <c r="A313" s="1" t="s">
        <v>1147</v>
      </c>
      <c r="B313" s="1" t="s">
        <v>1148</v>
      </c>
      <c r="C313" s="1" t="s">
        <v>371</v>
      </c>
      <c r="D313" s="1" t="str">
        <f>HYPERLINK("http://eros.fiehnlab.ucdavis.edu:8080/binbase-compound/bin/show/227973?db=rtx5","227973")</f>
        <v>227973</v>
      </c>
      <c r="E313" s="1" t="s">
        <v>1149</v>
      </c>
      <c r="F313" s="1" t="s">
        <v>184</v>
      </c>
      <c r="G313" s="1" t="s">
        <v>184</v>
      </c>
      <c r="H313" s="1"/>
      <c r="I313" s="8">
        <v>1418</v>
      </c>
      <c r="J313" s="8">
        <v>1437</v>
      </c>
      <c r="K313" s="8">
        <v>1389</v>
      </c>
      <c r="L313" s="8">
        <v>1293</v>
      </c>
      <c r="M313" s="8">
        <v>1738</v>
      </c>
      <c r="N313" s="8">
        <v>1293</v>
      </c>
      <c r="O313" s="8">
        <v>931</v>
      </c>
      <c r="P313" s="8">
        <v>1084</v>
      </c>
      <c r="Q313" s="8">
        <v>1143</v>
      </c>
      <c r="R313" s="8">
        <v>1167</v>
      </c>
      <c r="S313" s="8">
        <v>1254</v>
      </c>
      <c r="T313" s="8">
        <v>762</v>
      </c>
      <c r="U313" s="8">
        <v>767</v>
      </c>
      <c r="V313" s="8">
        <v>749</v>
      </c>
      <c r="W313" s="8">
        <v>666</v>
      </c>
      <c r="X313" s="8">
        <v>847</v>
      </c>
      <c r="Y313" s="8">
        <v>621</v>
      </c>
      <c r="Z313" s="8">
        <v>840</v>
      </c>
      <c r="AA313" s="8">
        <v>430</v>
      </c>
      <c r="AB313" s="8">
        <v>738</v>
      </c>
      <c r="AC313" s="8">
        <v>921</v>
      </c>
      <c r="AD313" s="8">
        <v>776</v>
      </c>
      <c r="AE313" s="8">
        <v>695</v>
      </c>
      <c r="AF313" s="8">
        <v>502</v>
      </c>
      <c r="AG313" s="8">
        <v>624</v>
      </c>
      <c r="AH313" s="8">
        <v>510</v>
      </c>
      <c r="AI313" s="8">
        <v>780</v>
      </c>
      <c r="AJ313" s="8">
        <v>802</v>
      </c>
      <c r="AK313" s="8">
        <v>628</v>
      </c>
      <c r="AL313" s="8">
        <v>1129</v>
      </c>
      <c r="AM313" s="8">
        <v>613</v>
      </c>
      <c r="AN313" s="8">
        <v>652</v>
      </c>
      <c r="AO313" s="8">
        <v>709</v>
      </c>
      <c r="AP313" s="8">
        <v>627</v>
      </c>
      <c r="AQ313" s="8">
        <v>646</v>
      </c>
      <c r="AR313" s="8">
        <v>481</v>
      </c>
      <c r="AS313" s="8">
        <v>543</v>
      </c>
      <c r="AT313" s="8">
        <v>622</v>
      </c>
      <c r="AU313" s="8">
        <v>585</v>
      </c>
      <c r="AV313" s="8">
        <v>629</v>
      </c>
      <c r="AW313" s="8">
        <v>673</v>
      </c>
      <c r="AX313" s="8">
        <v>625</v>
      </c>
      <c r="AY313" s="8">
        <v>390</v>
      </c>
      <c r="AZ313" s="8">
        <v>358</v>
      </c>
      <c r="BA313" s="8">
        <v>314</v>
      </c>
      <c r="BB313" s="8">
        <v>339</v>
      </c>
      <c r="BC313" s="8">
        <v>319</v>
      </c>
      <c r="BD313" s="8">
        <v>299</v>
      </c>
      <c r="BE313" s="8">
        <v>599</v>
      </c>
      <c r="BF313" s="8">
        <v>479</v>
      </c>
      <c r="BG313" s="8">
        <v>677</v>
      </c>
      <c r="BH313" s="8">
        <v>519</v>
      </c>
      <c r="BI313" s="8">
        <v>648</v>
      </c>
      <c r="BJ313" s="8">
        <v>644</v>
      </c>
      <c r="BK313" s="8">
        <v>694</v>
      </c>
      <c r="BL313" s="8">
        <v>813</v>
      </c>
      <c r="BM313" s="8">
        <v>922</v>
      </c>
      <c r="BN313" s="8">
        <v>706</v>
      </c>
      <c r="BO313" s="8">
        <v>1008</v>
      </c>
      <c r="BP313" s="8">
        <v>1042</v>
      </c>
      <c r="BQ313" s="8">
        <v>823</v>
      </c>
      <c r="BR313" s="8">
        <v>478</v>
      </c>
      <c r="BS313" s="8">
        <v>565</v>
      </c>
      <c r="BT313" s="8">
        <v>653</v>
      </c>
      <c r="BU313" s="8">
        <v>652</v>
      </c>
      <c r="BV313" s="8">
        <v>778</v>
      </c>
      <c r="BW313" s="8">
        <v>481</v>
      </c>
      <c r="BX313" s="8">
        <v>624</v>
      </c>
      <c r="BY313" s="8">
        <v>564</v>
      </c>
      <c r="BZ313" s="8">
        <v>746</v>
      </c>
      <c r="CA313" s="8">
        <v>714</v>
      </c>
      <c r="CB313" s="8">
        <v>514</v>
      </c>
      <c r="CC313" s="8">
        <v>505</v>
      </c>
      <c r="CD313" s="8">
        <v>578</v>
      </c>
      <c r="CE313" s="8">
        <v>564</v>
      </c>
      <c r="CF313" s="8">
        <v>539</v>
      </c>
      <c r="CG313" s="8">
        <v>749</v>
      </c>
      <c r="CH313" s="8">
        <v>589</v>
      </c>
      <c r="CJ313" s="9"/>
      <c r="CK313" s="9"/>
      <c r="CL313" s="9"/>
      <c r="CM313" s="9"/>
      <c r="CN313" s="9"/>
      <c r="CO313" s="9"/>
      <c r="CP313" s="9"/>
      <c r="CQ313" s="9"/>
      <c r="CR313" s="9"/>
      <c r="CS313" s="9"/>
      <c r="CT313" s="9"/>
      <c r="CU313" s="9"/>
      <c r="CV313" s="9"/>
      <c r="CW313" s="9"/>
      <c r="CX313" s="9"/>
      <c r="CY313" s="9"/>
      <c r="CZ313" s="9"/>
      <c r="DA313" s="9"/>
      <c r="DB313" s="9"/>
      <c r="DC313" s="9"/>
      <c r="DD313" s="9"/>
      <c r="DE313" s="9"/>
      <c r="DF313" s="9"/>
      <c r="DG313" s="9"/>
      <c r="DH313" s="9"/>
      <c r="DI313" s="9"/>
      <c r="DJ313" s="9"/>
      <c r="DK313" s="9"/>
      <c r="DL313" s="9"/>
      <c r="DM313" s="9"/>
      <c r="DN313" s="9"/>
      <c r="DO313" s="9"/>
      <c r="DP313" s="9"/>
      <c r="DQ313" s="9"/>
      <c r="DR313" s="9"/>
      <c r="DS313" s="9"/>
      <c r="DT313" s="9"/>
      <c r="DU313" s="9"/>
      <c r="DV313" s="9"/>
      <c r="DW313" s="9"/>
      <c r="DX313" s="9"/>
      <c r="DY313" s="9"/>
      <c r="DZ313" s="9"/>
      <c r="EA313" s="9"/>
      <c r="EB313" s="9"/>
      <c r="EC313" s="9"/>
      <c r="ED313" s="9"/>
      <c r="EE313" s="9"/>
      <c r="EF313" s="9"/>
      <c r="EG313" s="9"/>
      <c r="EH313" s="9"/>
      <c r="EI313" s="9"/>
      <c r="EJ313" s="9"/>
      <c r="EK313" s="9"/>
      <c r="EL313" s="9"/>
      <c r="EM313" s="9"/>
      <c r="EN313" s="9"/>
      <c r="EO313" s="9"/>
      <c r="EP313" s="9"/>
      <c r="EQ313" s="9"/>
      <c r="ER313" s="9"/>
      <c r="ES313" s="9"/>
      <c r="ET313" s="9"/>
      <c r="EU313" s="9"/>
      <c r="EV313" s="9"/>
      <c r="EW313" s="9"/>
      <c r="EX313" s="9"/>
      <c r="EY313" s="9"/>
      <c r="EZ313" s="9"/>
      <c r="FA313" s="9"/>
      <c r="FB313" s="9"/>
      <c r="FC313" s="9"/>
      <c r="FD313" s="9"/>
      <c r="FE313" s="9"/>
      <c r="FF313" s="9"/>
      <c r="FG313" s="9"/>
      <c r="FH313" s="9"/>
      <c r="FI313" s="9"/>
    </row>
    <row r="314" spans="1:165" x14ac:dyDescent="0.2">
      <c r="A314" s="1" t="s">
        <v>1026</v>
      </c>
      <c r="B314" s="1" t="s">
        <v>1027</v>
      </c>
      <c r="C314" s="1" t="s">
        <v>809</v>
      </c>
      <c r="D314" s="1" t="str">
        <f>HYPERLINK("http://eros.fiehnlab.ucdavis.edu:8080/binbase-compound/bin/show/268590?db=rtx5","268590")</f>
        <v>268590</v>
      </c>
      <c r="E314" s="1" t="s">
        <v>1028</v>
      </c>
      <c r="F314" s="1" t="s">
        <v>184</v>
      </c>
      <c r="G314" s="1" t="s">
        <v>184</v>
      </c>
      <c r="H314" s="1"/>
      <c r="I314" s="8">
        <v>478</v>
      </c>
      <c r="J314" s="8">
        <v>631</v>
      </c>
      <c r="K314" s="8">
        <v>286</v>
      </c>
      <c r="L314" s="8">
        <v>349</v>
      </c>
      <c r="M314" s="8">
        <v>619</v>
      </c>
      <c r="N314" s="8">
        <v>444</v>
      </c>
      <c r="O314" s="8">
        <v>484</v>
      </c>
      <c r="P314" s="8">
        <v>478</v>
      </c>
      <c r="Q314" s="8">
        <v>570</v>
      </c>
      <c r="R314" s="8">
        <v>685</v>
      </c>
      <c r="S314" s="8">
        <v>448</v>
      </c>
      <c r="T314" s="8">
        <v>300</v>
      </c>
      <c r="U314" s="8">
        <v>725</v>
      </c>
      <c r="V314" s="8">
        <v>565</v>
      </c>
      <c r="W314" s="8">
        <v>470</v>
      </c>
      <c r="X314" s="8">
        <v>574</v>
      </c>
      <c r="Y314" s="8">
        <v>320</v>
      </c>
      <c r="Z314" s="8">
        <v>569</v>
      </c>
      <c r="AA314" s="8">
        <v>233</v>
      </c>
      <c r="AB314" s="8">
        <v>497</v>
      </c>
      <c r="AC314" s="8">
        <v>788</v>
      </c>
      <c r="AD314" s="8">
        <v>333</v>
      </c>
      <c r="AE314" s="8">
        <v>543</v>
      </c>
      <c r="AF314" s="8">
        <v>319</v>
      </c>
      <c r="AG314" s="8">
        <v>509</v>
      </c>
      <c r="AH314" s="8">
        <v>479</v>
      </c>
      <c r="AI314" s="8">
        <v>574</v>
      </c>
      <c r="AJ314" s="8">
        <v>1274</v>
      </c>
      <c r="AK314" s="8">
        <v>254</v>
      </c>
      <c r="AL314" s="8">
        <v>519</v>
      </c>
      <c r="AM314" s="8">
        <v>575</v>
      </c>
      <c r="AN314" s="8">
        <v>806</v>
      </c>
      <c r="AO314" s="8">
        <v>529</v>
      </c>
      <c r="AP314" s="8">
        <v>507</v>
      </c>
      <c r="AQ314" s="8">
        <v>576</v>
      </c>
      <c r="AR314" s="8">
        <v>371</v>
      </c>
      <c r="AS314" s="8">
        <v>641</v>
      </c>
      <c r="AT314" s="8">
        <v>786</v>
      </c>
      <c r="AU314" s="8">
        <v>704</v>
      </c>
      <c r="AV314" s="8">
        <v>616</v>
      </c>
      <c r="AW314" s="8">
        <v>1145</v>
      </c>
      <c r="AX314" s="8">
        <v>595</v>
      </c>
      <c r="AY314" s="8">
        <v>527</v>
      </c>
      <c r="AZ314" s="8">
        <v>503</v>
      </c>
      <c r="BA314" s="8">
        <v>477</v>
      </c>
      <c r="BB314" s="8">
        <v>319</v>
      </c>
      <c r="BC314" s="8">
        <v>583</v>
      </c>
      <c r="BD314" s="8">
        <v>509</v>
      </c>
      <c r="BE314" s="8">
        <v>964</v>
      </c>
      <c r="BF314" s="8">
        <v>622</v>
      </c>
      <c r="BG314" s="8">
        <v>755</v>
      </c>
      <c r="BH314" s="8">
        <v>462</v>
      </c>
      <c r="BI314" s="8">
        <v>508</v>
      </c>
      <c r="BJ314" s="8">
        <v>799</v>
      </c>
      <c r="BK314" s="8">
        <v>676</v>
      </c>
      <c r="BL314" s="8">
        <v>438</v>
      </c>
      <c r="BM314" s="8">
        <v>392</v>
      </c>
      <c r="BN314" s="8">
        <v>741</v>
      </c>
      <c r="BO314" s="8">
        <v>641</v>
      </c>
      <c r="BP314" s="8">
        <v>525</v>
      </c>
      <c r="BQ314" s="8">
        <v>1014</v>
      </c>
      <c r="BR314" s="8">
        <v>467</v>
      </c>
      <c r="BS314" s="8">
        <v>526</v>
      </c>
      <c r="BT314" s="8">
        <v>428</v>
      </c>
      <c r="BU314" s="8">
        <v>508</v>
      </c>
      <c r="BV314" s="8">
        <v>323</v>
      </c>
      <c r="BW314" s="8">
        <v>387</v>
      </c>
      <c r="BX314" s="8">
        <v>389</v>
      </c>
      <c r="BY314" s="8">
        <v>355</v>
      </c>
      <c r="BZ314" s="8">
        <v>680</v>
      </c>
      <c r="CA314" s="8">
        <v>557</v>
      </c>
      <c r="CB314" s="8">
        <v>354</v>
      </c>
      <c r="CC314" s="8">
        <v>732</v>
      </c>
      <c r="CD314" s="8">
        <v>498</v>
      </c>
      <c r="CE314" s="8">
        <v>549</v>
      </c>
      <c r="CF314" s="8">
        <v>283</v>
      </c>
      <c r="CG314" s="8">
        <v>537</v>
      </c>
      <c r="CH314" s="8">
        <v>538</v>
      </c>
      <c r="CJ314" s="9"/>
      <c r="CK314" s="9"/>
      <c r="CL314" s="9"/>
      <c r="CM314" s="9"/>
      <c r="CN314" s="9"/>
      <c r="CO314" s="9"/>
      <c r="CP314" s="9"/>
      <c r="CQ314" s="9"/>
      <c r="CR314" s="9"/>
      <c r="CS314" s="9"/>
      <c r="CT314" s="9"/>
      <c r="CU314" s="9"/>
      <c r="CV314" s="9"/>
      <c r="CW314" s="9"/>
      <c r="CX314" s="9"/>
      <c r="CY314" s="9"/>
      <c r="CZ314" s="9"/>
      <c r="DA314" s="9"/>
      <c r="DB314" s="9"/>
      <c r="DC314" s="9"/>
      <c r="DD314" s="9"/>
      <c r="DE314" s="9"/>
      <c r="DF314" s="9"/>
      <c r="DG314" s="9"/>
      <c r="DH314" s="9"/>
      <c r="DI314" s="9"/>
      <c r="DJ314" s="9"/>
      <c r="DK314" s="9"/>
      <c r="DL314" s="9"/>
      <c r="DM314" s="9"/>
      <c r="DN314" s="9"/>
      <c r="DO314" s="9"/>
      <c r="DP314" s="9"/>
      <c r="DQ314" s="9"/>
      <c r="DR314" s="9"/>
      <c r="DS314" s="9"/>
      <c r="DT314" s="9"/>
      <c r="DU314" s="9"/>
      <c r="DV314" s="9"/>
      <c r="DW314" s="9"/>
      <c r="DX314" s="9"/>
      <c r="DY314" s="9"/>
      <c r="DZ314" s="9"/>
      <c r="EA314" s="9"/>
      <c r="EB314" s="9"/>
      <c r="EC314" s="9"/>
      <c r="ED314" s="9"/>
      <c r="EE314" s="9"/>
      <c r="EF314" s="9"/>
      <c r="EG314" s="9"/>
      <c r="EH314" s="9"/>
      <c r="EI314" s="9"/>
      <c r="EJ314" s="9"/>
      <c r="EK314" s="9"/>
      <c r="EL314" s="9"/>
      <c r="EM314" s="9"/>
      <c r="EN314" s="9"/>
      <c r="EO314" s="9"/>
      <c r="EP314" s="9"/>
      <c r="EQ314" s="9"/>
      <c r="ER314" s="9"/>
      <c r="ES314" s="9"/>
      <c r="ET314" s="9"/>
      <c r="EU314" s="9"/>
      <c r="EV314" s="9"/>
      <c r="EW314" s="9"/>
      <c r="EX314" s="9"/>
      <c r="EY314" s="9"/>
      <c r="EZ314" s="9"/>
      <c r="FA314" s="9"/>
      <c r="FB314" s="9"/>
      <c r="FC314" s="9"/>
      <c r="FD314" s="9"/>
      <c r="FE314" s="9"/>
      <c r="FF314" s="9"/>
      <c r="FG314" s="9"/>
      <c r="FH314" s="9"/>
      <c r="FI314" s="9"/>
    </row>
    <row r="315" spans="1:165" x14ac:dyDescent="0.2">
      <c r="A315" s="1" t="s">
        <v>1065</v>
      </c>
      <c r="B315" s="1" t="s">
        <v>1066</v>
      </c>
      <c r="C315" s="1" t="s">
        <v>1067</v>
      </c>
      <c r="D315" s="1" t="str">
        <f>HYPERLINK("http://eros.fiehnlab.ucdavis.edu:8080/binbase-compound/bin/show/241097?db=rtx5","241097")</f>
        <v>241097</v>
      </c>
      <c r="E315" s="1" t="s">
        <v>1068</v>
      </c>
      <c r="F315" s="1" t="s">
        <v>184</v>
      </c>
      <c r="G315" s="1" t="s">
        <v>184</v>
      </c>
      <c r="H315" s="1"/>
      <c r="I315" s="8">
        <v>860</v>
      </c>
      <c r="J315" s="8">
        <v>717</v>
      </c>
      <c r="K315" s="8">
        <v>742</v>
      </c>
      <c r="L315" s="8">
        <v>665</v>
      </c>
      <c r="M315" s="8">
        <v>1157</v>
      </c>
      <c r="N315" s="8">
        <v>1185</v>
      </c>
      <c r="O315" s="8">
        <v>692</v>
      </c>
      <c r="P315" s="8">
        <v>1013</v>
      </c>
      <c r="Q315" s="8">
        <v>1280</v>
      </c>
      <c r="R315" s="8">
        <v>1179</v>
      </c>
      <c r="S315" s="8">
        <v>1394</v>
      </c>
      <c r="T315" s="8">
        <v>1343</v>
      </c>
      <c r="U315" s="8">
        <v>739</v>
      </c>
      <c r="V315" s="8">
        <v>720</v>
      </c>
      <c r="W315" s="8">
        <v>1025</v>
      </c>
      <c r="X315" s="8">
        <v>1344</v>
      </c>
      <c r="Y315" s="8">
        <v>814</v>
      </c>
      <c r="Z315" s="8">
        <v>1092</v>
      </c>
      <c r="AA315" s="8">
        <v>486</v>
      </c>
      <c r="AB315" s="8">
        <v>807</v>
      </c>
      <c r="AC315" s="8">
        <v>836</v>
      </c>
      <c r="AD315" s="8">
        <v>768</v>
      </c>
      <c r="AE315" s="8">
        <v>1245</v>
      </c>
      <c r="AF315" s="8">
        <v>594</v>
      </c>
      <c r="AG315" s="8">
        <v>578</v>
      </c>
      <c r="AH315" s="8">
        <v>582</v>
      </c>
      <c r="AI315" s="8">
        <v>717</v>
      </c>
      <c r="AJ315" s="8">
        <v>1325</v>
      </c>
      <c r="AK315" s="8">
        <v>1088</v>
      </c>
      <c r="AL315" s="8">
        <v>1141</v>
      </c>
      <c r="AM315" s="8">
        <v>916</v>
      </c>
      <c r="AN315" s="8">
        <v>939</v>
      </c>
      <c r="AO315" s="8">
        <v>1027</v>
      </c>
      <c r="AP315" s="8">
        <v>1427</v>
      </c>
      <c r="AQ315" s="8">
        <v>1300</v>
      </c>
      <c r="AR315" s="8">
        <v>1040</v>
      </c>
      <c r="AS315" s="8">
        <v>967</v>
      </c>
      <c r="AT315" s="8">
        <v>916</v>
      </c>
      <c r="AU315" s="8">
        <v>713</v>
      </c>
      <c r="AV315" s="8">
        <v>786</v>
      </c>
      <c r="AW315" s="8">
        <v>1357</v>
      </c>
      <c r="AX315" s="8">
        <v>901</v>
      </c>
      <c r="AY315" s="8">
        <v>810</v>
      </c>
      <c r="AZ315" s="8">
        <v>1065</v>
      </c>
      <c r="BA315" s="8">
        <v>1221</v>
      </c>
      <c r="BB315" s="8">
        <v>1405</v>
      </c>
      <c r="BC315" s="8">
        <v>1295</v>
      </c>
      <c r="BD315" s="8">
        <v>1238</v>
      </c>
      <c r="BE315" s="8">
        <v>746</v>
      </c>
      <c r="BF315" s="8">
        <v>657</v>
      </c>
      <c r="BG315" s="8">
        <v>789</v>
      </c>
      <c r="BH315" s="8">
        <v>632</v>
      </c>
      <c r="BI315" s="8">
        <v>1078</v>
      </c>
      <c r="BJ315" s="8">
        <v>985</v>
      </c>
      <c r="BK315" s="8">
        <v>1052</v>
      </c>
      <c r="BL315" s="8">
        <v>874</v>
      </c>
      <c r="BM315" s="8">
        <v>1029</v>
      </c>
      <c r="BN315" s="8">
        <v>870</v>
      </c>
      <c r="BO315" s="8">
        <v>1268</v>
      </c>
      <c r="BP315" s="8">
        <v>1344</v>
      </c>
      <c r="BQ315" s="8">
        <v>771</v>
      </c>
      <c r="BR315" s="8">
        <v>875</v>
      </c>
      <c r="BS315" s="8">
        <v>773</v>
      </c>
      <c r="BT315" s="8">
        <v>1157</v>
      </c>
      <c r="BU315" s="8">
        <v>1169</v>
      </c>
      <c r="BV315" s="8">
        <v>1122</v>
      </c>
      <c r="BW315" s="8">
        <v>756</v>
      </c>
      <c r="BX315" s="8">
        <v>768</v>
      </c>
      <c r="BY315" s="8">
        <v>600</v>
      </c>
      <c r="BZ315" s="8">
        <v>1221</v>
      </c>
      <c r="CA315" s="8">
        <v>1082</v>
      </c>
      <c r="CB315" s="8">
        <v>880</v>
      </c>
      <c r="CC315" s="8">
        <v>647</v>
      </c>
      <c r="CD315" s="8">
        <v>568</v>
      </c>
      <c r="CE315" s="8">
        <v>824</v>
      </c>
      <c r="CF315" s="8">
        <v>607</v>
      </c>
      <c r="CG315" s="8">
        <v>972</v>
      </c>
      <c r="CH315" s="8">
        <v>1135</v>
      </c>
      <c r="CJ315" s="9"/>
      <c r="CK315" s="9"/>
      <c r="CL315" s="9"/>
      <c r="CM315" s="9"/>
      <c r="CN315" s="9"/>
      <c r="CO315" s="9"/>
      <c r="CP315" s="9"/>
      <c r="CQ315" s="9"/>
      <c r="CR315" s="9"/>
      <c r="CS315" s="9"/>
      <c r="CT315" s="9"/>
      <c r="CU315" s="9"/>
      <c r="CV315" s="9"/>
      <c r="CW315" s="9"/>
      <c r="CX315" s="9"/>
      <c r="CY315" s="9"/>
      <c r="CZ315" s="9"/>
      <c r="DA315" s="9"/>
      <c r="DB315" s="9"/>
      <c r="DC315" s="9"/>
      <c r="DD315" s="9"/>
      <c r="DE315" s="9"/>
      <c r="DF315" s="9"/>
      <c r="DG315" s="9"/>
      <c r="DH315" s="9"/>
      <c r="DI315" s="9"/>
      <c r="DJ315" s="9"/>
      <c r="DK315" s="9"/>
      <c r="DL315" s="9"/>
      <c r="DM315" s="9"/>
      <c r="DN315" s="9"/>
      <c r="DO315" s="9"/>
      <c r="DP315" s="9"/>
      <c r="DQ315" s="9"/>
      <c r="DR315" s="9"/>
      <c r="DS315" s="9"/>
      <c r="DT315" s="9"/>
      <c r="DU315" s="9"/>
      <c r="DV315" s="9"/>
      <c r="DW315" s="9"/>
      <c r="DX315" s="9"/>
      <c r="DY315" s="9"/>
      <c r="DZ315" s="9"/>
      <c r="EA315" s="9"/>
      <c r="EB315" s="9"/>
      <c r="EC315" s="9"/>
      <c r="ED315" s="9"/>
      <c r="EE315" s="9"/>
      <c r="EF315" s="9"/>
      <c r="EG315" s="9"/>
      <c r="EH315" s="9"/>
      <c r="EI315" s="9"/>
      <c r="EJ315" s="9"/>
      <c r="EK315" s="9"/>
      <c r="EL315" s="9"/>
      <c r="EM315" s="9"/>
      <c r="EN315" s="9"/>
      <c r="EO315" s="9"/>
      <c r="EP315" s="9"/>
      <c r="EQ315" s="9"/>
      <c r="ER315" s="9"/>
      <c r="ES315" s="9"/>
      <c r="ET315" s="9"/>
      <c r="EU315" s="9"/>
      <c r="EV315" s="9"/>
      <c r="EW315" s="9"/>
      <c r="EX315" s="9"/>
      <c r="EY315" s="9"/>
      <c r="EZ315" s="9"/>
      <c r="FA315" s="9"/>
      <c r="FB315" s="9"/>
      <c r="FC315" s="9"/>
      <c r="FD315" s="9"/>
      <c r="FE315" s="9"/>
      <c r="FF315" s="9"/>
      <c r="FG315" s="9"/>
      <c r="FH315" s="9"/>
      <c r="FI315" s="9"/>
    </row>
    <row r="316" spans="1:165" x14ac:dyDescent="0.2">
      <c r="A316" s="1" t="s">
        <v>801</v>
      </c>
      <c r="B316" s="1" t="s">
        <v>802</v>
      </c>
      <c r="C316" s="1" t="s">
        <v>487</v>
      </c>
      <c r="D316" s="1" t="str">
        <f>HYPERLINK("http://eros.fiehnlab.ucdavis.edu:8080/binbase-compound/bin/show/357010?db=rtx5","357010")</f>
        <v>357010</v>
      </c>
      <c r="E316" s="1" t="s">
        <v>803</v>
      </c>
      <c r="F316" s="1" t="s">
        <v>184</v>
      </c>
      <c r="G316" s="1" t="s">
        <v>184</v>
      </c>
      <c r="H316" s="1"/>
      <c r="I316" s="8">
        <v>906</v>
      </c>
      <c r="J316" s="8">
        <v>698</v>
      </c>
      <c r="K316" s="8">
        <v>670</v>
      </c>
      <c r="L316" s="8">
        <v>637</v>
      </c>
      <c r="M316" s="8">
        <v>462</v>
      </c>
      <c r="N316" s="8">
        <v>787</v>
      </c>
      <c r="O316" s="8">
        <v>642</v>
      </c>
      <c r="P316" s="8">
        <v>692</v>
      </c>
      <c r="Q316" s="8">
        <v>663</v>
      </c>
      <c r="R316" s="8">
        <v>855</v>
      </c>
      <c r="S316" s="8">
        <v>762</v>
      </c>
      <c r="T316" s="8">
        <v>682</v>
      </c>
      <c r="U316" s="8">
        <v>568</v>
      </c>
      <c r="V316" s="8">
        <v>710</v>
      </c>
      <c r="W316" s="8">
        <v>700</v>
      </c>
      <c r="X316" s="8">
        <v>492</v>
      </c>
      <c r="Y316" s="8">
        <v>575</v>
      </c>
      <c r="Z316" s="8">
        <v>586</v>
      </c>
      <c r="AA316" s="8">
        <v>425</v>
      </c>
      <c r="AB316" s="8">
        <v>718</v>
      </c>
      <c r="AC316" s="8">
        <v>614</v>
      </c>
      <c r="AD316" s="8">
        <v>748</v>
      </c>
      <c r="AE316" s="8">
        <v>677</v>
      </c>
      <c r="AF316" s="8">
        <v>580</v>
      </c>
      <c r="AG316" s="8">
        <v>501</v>
      </c>
      <c r="AH316" s="8">
        <v>633</v>
      </c>
      <c r="AI316" s="8">
        <v>668</v>
      </c>
      <c r="AJ316" s="8">
        <v>960</v>
      </c>
      <c r="AK316" s="8">
        <v>577</v>
      </c>
      <c r="AL316" s="8">
        <v>408</v>
      </c>
      <c r="AM316" s="8">
        <v>1165</v>
      </c>
      <c r="AN316" s="8">
        <v>958</v>
      </c>
      <c r="AO316" s="8">
        <v>803</v>
      </c>
      <c r="AP316" s="8">
        <v>935</v>
      </c>
      <c r="AQ316" s="8">
        <v>783</v>
      </c>
      <c r="AR316" s="8">
        <v>600</v>
      </c>
      <c r="AS316" s="8">
        <v>802</v>
      </c>
      <c r="AT316" s="8">
        <v>825</v>
      </c>
      <c r="AU316" s="8">
        <v>742</v>
      </c>
      <c r="AV316" s="8">
        <v>728</v>
      </c>
      <c r="AW316" s="8">
        <v>702</v>
      </c>
      <c r="AX316" s="8">
        <v>713</v>
      </c>
      <c r="AY316" s="8">
        <v>411</v>
      </c>
      <c r="AZ316" s="8">
        <v>714</v>
      </c>
      <c r="BA316" s="8">
        <v>846</v>
      </c>
      <c r="BB316" s="8">
        <v>899</v>
      </c>
      <c r="BC316" s="8">
        <v>903</v>
      </c>
      <c r="BD316" s="8">
        <v>932</v>
      </c>
      <c r="BE316" s="8">
        <v>709</v>
      </c>
      <c r="BF316" s="8">
        <v>681</v>
      </c>
      <c r="BG316" s="8">
        <v>689</v>
      </c>
      <c r="BH316" s="8">
        <v>601</v>
      </c>
      <c r="BI316" s="8">
        <v>475</v>
      </c>
      <c r="BJ316" s="8">
        <v>682</v>
      </c>
      <c r="BK316" s="8">
        <v>860</v>
      </c>
      <c r="BL316" s="8">
        <v>828</v>
      </c>
      <c r="BM316" s="8">
        <v>843</v>
      </c>
      <c r="BN316" s="8">
        <v>465</v>
      </c>
      <c r="BO316" s="8">
        <v>787</v>
      </c>
      <c r="BP316" s="8">
        <v>779</v>
      </c>
      <c r="BQ316" s="8">
        <v>731</v>
      </c>
      <c r="BR316" s="8">
        <v>732</v>
      </c>
      <c r="BS316" s="8">
        <v>827</v>
      </c>
      <c r="BT316" s="8">
        <v>619</v>
      </c>
      <c r="BU316" s="8">
        <v>673</v>
      </c>
      <c r="BV316" s="8">
        <v>607</v>
      </c>
      <c r="BW316" s="8">
        <v>785</v>
      </c>
      <c r="BX316" s="8">
        <v>646</v>
      </c>
      <c r="BY316" s="8">
        <v>706</v>
      </c>
      <c r="BZ316" s="8">
        <v>546</v>
      </c>
      <c r="CA316" s="8">
        <v>705</v>
      </c>
      <c r="CB316" s="8">
        <v>525</v>
      </c>
      <c r="CC316" s="8">
        <v>657</v>
      </c>
      <c r="CD316" s="8">
        <v>638</v>
      </c>
      <c r="CE316" s="8">
        <v>666</v>
      </c>
      <c r="CF316" s="8">
        <v>554</v>
      </c>
      <c r="CG316" s="8">
        <v>667</v>
      </c>
      <c r="CH316" s="8">
        <v>649</v>
      </c>
      <c r="CJ316" s="9"/>
      <c r="CK316" s="9"/>
      <c r="CL316" s="9"/>
      <c r="CM316" s="9"/>
      <c r="CN316" s="9"/>
      <c r="CO316" s="9"/>
      <c r="CP316" s="9"/>
      <c r="CQ316" s="9"/>
      <c r="CR316" s="9"/>
      <c r="CS316" s="9"/>
      <c r="CT316" s="9"/>
      <c r="CU316" s="9"/>
      <c r="CV316" s="9"/>
      <c r="CW316" s="9"/>
      <c r="CX316" s="9"/>
      <c r="CY316" s="9"/>
      <c r="CZ316" s="9"/>
      <c r="DA316" s="9"/>
      <c r="DB316" s="9"/>
      <c r="DC316" s="9"/>
      <c r="DD316" s="9"/>
      <c r="DE316" s="9"/>
      <c r="DF316" s="9"/>
      <c r="DG316" s="9"/>
      <c r="DH316" s="9"/>
      <c r="DI316" s="9"/>
      <c r="DJ316" s="9"/>
      <c r="DK316" s="9"/>
      <c r="DL316" s="9"/>
      <c r="DM316" s="9"/>
      <c r="DN316" s="9"/>
      <c r="DO316" s="9"/>
      <c r="DP316" s="9"/>
      <c r="DQ316" s="9"/>
      <c r="DR316" s="9"/>
      <c r="DS316" s="9"/>
      <c r="DT316" s="9"/>
      <c r="DU316" s="9"/>
      <c r="DV316" s="9"/>
      <c r="DW316" s="9"/>
      <c r="DX316" s="9"/>
      <c r="DY316" s="9"/>
      <c r="DZ316" s="9"/>
      <c r="EA316" s="9"/>
      <c r="EB316" s="9"/>
      <c r="EC316" s="9"/>
      <c r="ED316" s="9"/>
      <c r="EE316" s="9"/>
      <c r="EF316" s="9"/>
      <c r="EG316" s="9"/>
      <c r="EH316" s="9"/>
      <c r="EI316" s="9"/>
      <c r="EJ316" s="9"/>
      <c r="EK316" s="9"/>
      <c r="EL316" s="9"/>
      <c r="EM316" s="9"/>
      <c r="EN316" s="9"/>
      <c r="EO316" s="9"/>
      <c r="EP316" s="9"/>
      <c r="EQ316" s="9"/>
      <c r="ER316" s="9"/>
      <c r="ES316" s="9"/>
      <c r="ET316" s="9"/>
      <c r="EU316" s="9"/>
      <c r="EV316" s="9"/>
      <c r="EW316" s="9"/>
      <c r="EX316" s="9"/>
      <c r="EY316" s="9"/>
      <c r="EZ316" s="9"/>
      <c r="FA316" s="9"/>
      <c r="FB316" s="9"/>
      <c r="FC316" s="9"/>
      <c r="FD316" s="9"/>
      <c r="FE316" s="9"/>
      <c r="FF316" s="9"/>
      <c r="FG316" s="9"/>
      <c r="FH316" s="9"/>
      <c r="FI316" s="9"/>
    </row>
    <row r="317" spans="1:165" x14ac:dyDescent="0.2">
      <c r="A317" s="1" t="s">
        <v>1302</v>
      </c>
      <c r="B317" s="1" t="s">
        <v>1303</v>
      </c>
      <c r="C317" s="1" t="s">
        <v>847</v>
      </c>
      <c r="D317" s="1" t="str">
        <f>HYPERLINK("http://eros.fiehnlab.ucdavis.edu:8080/binbase-compound/bin/show/211980?db=rtx5","211980")</f>
        <v>211980</v>
      </c>
      <c r="E317" s="1" t="s">
        <v>1304</v>
      </c>
      <c r="F317" s="1" t="s">
        <v>184</v>
      </c>
      <c r="G317" s="1" t="s">
        <v>184</v>
      </c>
      <c r="H317" s="1"/>
      <c r="I317" s="8">
        <v>749</v>
      </c>
      <c r="J317" s="8">
        <v>748</v>
      </c>
      <c r="K317" s="8">
        <v>531</v>
      </c>
      <c r="L317" s="8">
        <v>606</v>
      </c>
      <c r="M317" s="8">
        <v>569</v>
      </c>
      <c r="N317" s="8">
        <v>871</v>
      </c>
      <c r="O317" s="8">
        <v>721</v>
      </c>
      <c r="P317" s="8">
        <v>843</v>
      </c>
      <c r="Q317" s="8">
        <v>842</v>
      </c>
      <c r="R317" s="8">
        <v>722</v>
      </c>
      <c r="S317" s="8">
        <v>543</v>
      </c>
      <c r="T317" s="8">
        <v>663</v>
      </c>
      <c r="U317" s="8">
        <v>768</v>
      </c>
      <c r="V317" s="8">
        <v>683</v>
      </c>
      <c r="W317" s="8">
        <v>529</v>
      </c>
      <c r="X317" s="8">
        <v>734</v>
      </c>
      <c r="Y317" s="8">
        <v>446</v>
      </c>
      <c r="Z317" s="8">
        <v>429</v>
      </c>
      <c r="AA317" s="8">
        <v>397</v>
      </c>
      <c r="AB317" s="8">
        <v>747</v>
      </c>
      <c r="AC317" s="8">
        <v>763</v>
      </c>
      <c r="AD317" s="8">
        <v>687</v>
      </c>
      <c r="AE317" s="8">
        <v>550</v>
      </c>
      <c r="AF317" s="8">
        <v>326</v>
      </c>
      <c r="AG317" s="8">
        <v>609</v>
      </c>
      <c r="AH317" s="8">
        <v>536</v>
      </c>
      <c r="AI317" s="8">
        <v>633</v>
      </c>
      <c r="AJ317" s="8">
        <v>776</v>
      </c>
      <c r="AK317" s="8">
        <v>546</v>
      </c>
      <c r="AL317" s="8">
        <v>931</v>
      </c>
      <c r="AM317" s="8">
        <v>1151</v>
      </c>
      <c r="AN317" s="8">
        <v>848</v>
      </c>
      <c r="AO317" s="8">
        <v>876</v>
      </c>
      <c r="AP317" s="8">
        <v>820</v>
      </c>
      <c r="AQ317" s="8">
        <v>319</v>
      </c>
      <c r="AR317" s="8">
        <v>682</v>
      </c>
      <c r="AS317" s="8">
        <v>659</v>
      </c>
      <c r="AT317" s="8">
        <v>668</v>
      </c>
      <c r="AU317" s="8">
        <v>860</v>
      </c>
      <c r="AV317" s="8">
        <v>776</v>
      </c>
      <c r="AW317" s="8">
        <v>529</v>
      </c>
      <c r="AX317" s="8">
        <v>701</v>
      </c>
      <c r="AY317" s="8">
        <v>862</v>
      </c>
      <c r="AZ317" s="8">
        <v>711</v>
      </c>
      <c r="BA317" s="8">
        <v>868</v>
      </c>
      <c r="BB317" s="8">
        <v>931</v>
      </c>
      <c r="BC317" s="8">
        <v>557</v>
      </c>
      <c r="BD317" s="8">
        <v>1027</v>
      </c>
      <c r="BE317" s="8">
        <v>779</v>
      </c>
      <c r="BF317" s="8">
        <v>569</v>
      </c>
      <c r="BG317" s="8">
        <v>915</v>
      </c>
      <c r="BH317" s="8">
        <v>589</v>
      </c>
      <c r="BI317" s="8">
        <v>722</v>
      </c>
      <c r="BJ317" s="8">
        <v>558</v>
      </c>
      <c r="BK317" s="8">
        <v>805</v>
      </c>
      <c r="BL317" s="8">
        <v>852</v>
      </c>
      <c r="BM317" s="8">
        <v>829</v>
      </c>
      <c r="BN317" s="8">
        <v>463</v>
      </c>
      <c r="BO317" s="8">
        <v>661</v>
      </c>
      <c r="BP317" s="8">
        <v>848</v>
      </c>
      <c r="BQ317" s="8">
        <v>559</v>
      </c>
      <c r="BR317" s="8">
        <v>694</v>
      </c>
      <c r="BS317" s="8">
        <v>627</v>
      </c>
      <c r="BT317" s="8">
        <v>625</v>
      </c>
      <c r="BU317" s="8">
        <v>456</v>
      </c>
      <c r="BV317" s="8">
        <v>641</v>
      </c>
      <c r="BW317" s="8">
        <v>709</v>
      </c>
      <c r="BX317" s="8">
        <v>735</v>
      </c>
      <c r="BY317" s="8">
        <v>688</v>
      </c>
      <c r="BZ317" s="8">
        <v>665</v>
      </c>
      <c r="CA317" s="8">
        <v>671</v>
      </c>
      <c r="CB317" s="8">
        <v>549</v>
      </c>
      <c r="CC317" s="8">
        <v>391</v>
      </c>
      <c r="CD317" s="8">
        <v>509</v>
      </c>
      <c r="CE317" s="8">
        <v>526</v>
      </c>
      <c r="CF317" s="8">
        <v>626</v>
      </c>
      <c r="CG317" s="8">
        <v>707</v>
      </c>
      <c r="CH317" s="8">
        <v>209</v>
      </c>
      <c r="CJ317" s="9"/>
      <c r="CK317" s="9"/>
      <c r="CL317" s="9"/>
      <c r="CM317" s="9"/>
      <c r="CN317" s="9"/>
      <c r="CO317" s="9"/>
      <c r="CP317" s="9"/>
      <c r="CQ317" s="9"/>
      <c r="CR317" s="9"/>
      <c r="CS317" s="9"/>
      <c r="CT317" s="9"/>
      <c r="CU317" s="9"/>
      <c r="CV317" s="9"/>
      <c r="CW317" s="9"/>
      <c r="CX317" s="9"/>
      <c r="CY317" s="9"/>
      <c r="CZ317" s="9"/>
      <c r="DA317" s="9"/>
      <c r="DB317" s="9"/>
      <c r="DC317" s="9"/>
      <c r="DD317" s="9"/>
      <c r="DE317" s="9"/>
      <c r="DF317" s="9"/>
      <c r="DG317" s="9"/>
      <c r="DH317" s="9"/>
      <c r="DI317" s="9"/>
      <c r="DJ317" s="9"/>
      <c r="DK317" s="9"/>
      <c r="DL317" s="9"/>
      <c r="DM317" s="9"/>
      <c r="DN317" s="9"/>
      <c r="DO317" s="9"/>
      <c r="DP317" s="9"/>
      <c r="DQ317" s="9"/>
      <c r="DR317" s="9"/>
      <c r="DS317" s="9"/>
      <c r="DT317" s="9"/>
      <c r="DU317" s="9"/>
      <c r="DV317" s="9"/>
      <c r="DW317" s="9"/>
      <c r="DX317" s="9"/>
      <c r="DY317" s="9"/>
      <c r="DZ317" s="9"/>
      <c r="EA317" s="9"/>
      <c r="EB317" s="9"/>
      <c r="EC317" s="9"/>
      <c r="ED317" s="9"/>
      <c r="EE317" s="9"/>
      <c r="EF317" s="9"/>
      <c r="EG317" s="9"/>
      <c r="EH317" s="9"/>
      <c r="EI317" s="9"/>
      <c r="EJ317" s="9"/>
      <c r="EK317" s="9"/>
      <c r="EL317" s="9"/>
      <c r="EM317" s="9"/>
      <c r="EN317" s="9"/>
      <c r="EO317" s="9"/>
      <c r="EP317" s="9"/>
      <c r="EQ317" s="9"/>
      <c r="ER317" s="9"/>
      <c r="ES317" s="9"/>
      <c r="ET317" s="9"/>
      <c r="EU317" s="9"/>
      <c r="EV317" s="9"/>
      <c r="EW317" s="9"/>
      <c r="EX317" s="9"/>
      <c r="EY317" s="9"/>
      <c r="EZ317" s="9"/>
      <c r="FA317" s="9"/>
      <c r="FB317" s="9"/>
      <c r="FC317" s="9"/>
      <c r="FD317" s="9"/>
      <c r="FE317" s="9"/>
      <c r="FF317" s="9"/>
      <c r="FG317" s="9"/>
      <c r="FH317" s="9"/>
      <c r="FI317" s="9"/>
    </row>
    <row r="318" spans="1:165" x14ac:dyDescent="0.2">
      <c r="A318" s="1" t="s">
        <v>944</v>
      </c>
      <c r="B318" s="1" t="s">
        <v>945</v>
      </c>
      <c r="C318" s="1" t="s">
        <v>946</v>
      </c>
      <c r="D318" s="1" t="str">
        <f>HYPERLINK("http://eros.fiehnlab.ucdavis.edu:8080/binbase-compound/bin/show/289052?db=rtx5","289052")</f>
        <v>289052</v>
      </c>
      <c r="E318" s="1" t="s">
        <v>947</v>
      </c>
      <c r="F318" s="1" t="s">
        <v>184</v>
      </c>
      <c r="G318" s="1" t="s">
        <v>184</v>
      </c>
      <c r="H318" s="1"/>
      <c r="I318" s="8">
        <v>276</v>
      </c>
      <c r="J318" s="8">
        <v>267</v>
      </c>
      <c r="K318" s="8">
        <v>278</v>
      </c>
      <c r="L318" s="8">
        <v>379</v>
      </c>
      <c r="M318" s="8">
        <v>298</v>
      </c>
      <c r="N318" s="8">
        <v>430</v>
      </c>
      <c r="O318" s="8">
        <v>346</v>
      </c>
      <c r="P318" s="8">
        <v>411</v>
      </c>
      <c r="Q318" s="8">
        <v>329</v>
      </c>
      <c r="R318" s="8">
        <v>428</v>
      </c>
      <c r="S318" s="8">
        <v>422</v>
      </c>
      <c r="T318" s="8">
        <v>397</v>
      </c>
      <c r="U318" s="8">
        <v>194</v>
      </c>
      <c r="V318" s="8">
        <v>344</v>
      </c>
      <c r="W318" s="8">
        <v>241</v>
      </c>
      <c r="X318" s="8">
        <v>295</v>
      </c>
      <c r="Y318" s="8">
        <v>367</v>
      </c>
      <c r="Z318" s="8">
        <v>423</v>
      </c>
      <c r="AA318" s="8">
        <v>176</v>
      </c>
      <c r="AB318" s="8">
        <v>387</v>
      </c>
      <c r="AC318" s="8">
        <v>482</v>
      </c>
      <c r="AD318" s="8">
        <v>498</v>
      </c>
      <c r="AE318" s="8">
        <v>277</v>
      </c>
      <c r="AF318" s="8">
        <v>388</v>
      </c>
      <c r="AG318" s="8">
        <v>229</v>
      </c>
      <c r="AH318" s="8">
        <v>338</v>
      </c>
      <c r="AI318" s="8">
        <v>346</v>
      </c>
      <c r="AJ318" s="8">
        <v>441</v>
      </c>
      <c r="AK318" s="8">
        <v>250</v>
      </c>
      <c r="AL318" s="8">
        <v>146</v>
      </c>
      <c r="AM318" s="8">
        <v>294</v>
      </c>
      <c r="AN318" s="8">
        <v>297</v>
      </c>
      <c r="AO318" s="8">
        <v>362</v>
      </c>
      <c r="AP318" s="8">
        <v>325</v>
      </c>
      <c r="AQ318" s="8">
        <v>398</v>
      </c>
      <c r="AR318" s="8">
        <v>393</v>
      </c>
      <c r="AS318" s="8">
        <v>150</v>
      </c>
      <c r="AT318" s="8">
        <v>353</v>
      </c>
      <c r="AU318" s="8">
        <v>242</v>
      </c>
      <c r="AV318" s="8">
        <v>350</v>
      </c>
      <c r="AW318" s="8">
        <v>299</v>
      </c>
      <c r="AX318" s="8">
        <v>314</v>
      </c>
      <c r="AY318" s="8">
        <v>371</v>
      </c>
      <c r="AZ318" s="8">
        <v>296</v>
      </c>
      <c r="BA318" s="8">
        <v>352</v>
      </c>
      <c r="BB318" s="8">
        <v>323</v>
      </c>
      <c r="BC318" s="8">
        <v>406</v>
      </c>
      <c r="BD318" s="8">
        <v>513</v>
      </c>
      <c r="BE318" s="8">
        <v>323</v>
      </c>
      <c r="BF318" s="8">
        <v>365</v>
      </c>
      <c r="BG318" s="8">
        <v>248</v>
      </c>
      <c r="BH318" s="8">
        <v>188</v>
      </c>
      <c r="BI318" s="8">
        <v>254</v>
      </c>
      <c r="BJ318" s="8">
        <v>233</v>
      </c>
      <c r="BK318" s="8">
        <v>348</v>
      </c>
      <c r="BL318" s="8">
        <v>335</v>
      </c>
      <c r="BM318" s="8">
        <v>397</v>
      </c>
      <c r="BN318" s="8">
        <v>229</v>
      </c>
      <c r="BO318" s="8">
        <v>310</v>
      </c>
      <c r="BP318" s="8">
        <v>313</v>
      </c>
      <c r="BQ318" s="8">
        <v>255</v>
      </c>
      <c r="BR318" s="8">
        <v>345</v>
      </c>
      <c r="BS318" s="8">
        <v>208</v>
      </c>
      <c r="BT318" s="8">
        <v>312</v>
      </c>
      <c r="BU318" s="8">
        <v>316</v>
      </c>
      <c r="BV318" s="8">
        <v>357</v>
      </c>
      <c r="BW318" s="8">
        <v>261</v>
      </c>
      <c r="BX318" s="8">
        <v>372</v>
      </c>
      <c r="BY318" s="8">
        <v>583</v>
      </c>
      <c r="BZ318" s="8">
        <v>267</v>
      </c>
      <c r="CA318" s="8">
        <v>333</v>
      </c>
      <c r="CB318" s="8">
        <v>446</v>
      </c>
      <c r="CC318" s="8">
        <v>261</v>
      </c>
      <c r="CD318" s="8">
        <v>261</v>
      </c>
      <c r="CE318" s="8">
        <v>367</v>
      </c>
      <c r="CF318" s="8">
        <v>360</v>
      </c>
      <c r="CG318" s="8">
        <v>263</v>
      </c>
      <c r="CH318" s="8">
        <v>317</v>
      </c>
      <c r="CJ318" s="9"/>
      <c r="CK318" s="9"/>
      <c r="CL318" s="9"/>
      <c r="CM318" s="9"/>
      <c r="CN318" s="9"/>
      <c r="CO318" s="9"/>
      <c r="CP318" s="9"/>
      <c r="CQ318" s="9"/>
      <c r="CR318" s="9"/>
      <c r="CS318" s="9"/>
      <c r="CT318" s="9"/>
      <c r="CU318" s="9"/>
      <c r="CV318" s="9"/>
      <c r="CW318" s="9"/>
      <c r="CX318" s="9"/>
      <c r="CY318" s="9"/>
      <c r="CZ318" s="9"/>
      <c r="DA318" s="9"/>
      <c r="DB318" s="9"/>
      <c r="DC318" s="9"/>
      <c r="DD318" s="9"/>
      <c r="DE318" s="9"/>
      <c r="DF318" s="9"/>
      <c r="DG318" s="9"/>
      <c r="DH318" s="9"/>
      <c r="DI318" s="9"/>
      <c r="DJ318" s="9"/>
      <c r="DK318" s="9"/>
      <c r="DL318" s="9"/>
      <c r="DM318" s="9"/>
      <c r="DN318" s="9"/>
      <c r="DO318" s="9"/>
      <c r="DP318" s="9"/>
      <c r="DQ318" s="9"/>
      <c r="DR318" s="9"/>
      <c r="DS318" s="9"/>
      <c r="DT318" s="9"/>
      <c r="DU318" s="9"/>
      <c r="DV318" s="9"/>
      <c r="DW318" s="9"/>
      <c r="DX318" s="9"/>
      <c r="DY318" s="9"/>
      <c r="DZ318" s="9"/>
      <c r="EA318" s="9"/>
      <c r="EB318" s="9"/>
      <c r="EC318" s="9"/>
      <c r="ED318" s="9"/>
      <c r="EE318" s="9"/>
      <c r="EF318" s="9"/>
      <c r="EG318" s="9"/>
      <c r="EH318" s="9"/>
      <c r="EI318" s="9"/>
      <c r="EJ318" s="9"/>
      <c r="EK318" s="9"/>
      <c r="EL318" s="9"/>
      <c r="EM318" s="9"/>
      <c r="EN318" s="9"/>
      <c r="EO318" s="9"/>
      <c r="EP318" s="9"/>
      <c r="EQ318" s="9"/>
      <c r="ER318" s="9"/>
      <c r="ES318" s="9"/>
      <c r="ET318" s="9"/>
      <c r="EU318" s="9"/>
      <c r="EV318" s="9"/>
      <c r="EW318" s="9"/>
      <c r="EX318" s="9"/>
      <c r="EY318" s="9"/>
      <c r="EZ318" s="9"/>
      <c r="FA318" s="9"/>
      <c r="FB318" s="9"/>
      <c r="FC318" s="9"/>
      <c r="FD318" s="9"/>
      <c r="FE318" s="9"/>
      <c r="FF318" s="9"/>
      <c r="FG318" s="9"/>
      <c r="FH318" s="9"/>
      <c r="FI318" s="9"/>
    </row>
    <row r="319" spans="1:165" x14ac:dyDescent="0.2">
      <c r="A319" s="1" t="s">
        <v>795</v>
      </c>
      <c r="B319" s="1" t="s">
        <v>796</v>
      </c>
      <c r="C319" s="1" t="s">
        <v>412</v>
      </c>
      <c r="D319" s="1" t="str">
        <f>HYPERLINK("http://eros.fiehnlab.ucdavis.edu:8080/binbase-compound/bin/show/362005?db=rtx5","362005")</f>
        <v>362005</v>
      </c>
      <c r="E319" s="1" t="s">
        <v>797</v>
      </c>
      <c r="F319" s="1" t="s">
        <v>184</v>
      </c>
      <c r="G319" s="1" t="s">
        <v>184</v>
      </c>
      <c r="H319" s="1"/>
      <c r="I319" s="8">
        <v>410</v>
      </c>
      <c r="J319" s="8">
        <v>433</v>
      </c>
      <c r="K319" s="8">
        <v>578</v>
      </c>
      <c r="L319" s="8">
        <v>355</v>
      </c>
      <c r="M319" s="8">
        <v>496</v>
      </c>
      <c r="N319" s="8">
        <v>346</v>
      </c>
      <c r="O319" s="8">
        <v>523</v>
      </c>
      <c r="P319" s="8">
        <v>689</v>
      </c>
      <c r="Q319" s="8">
        <v>656</v>
      </c>
      <c r="R319" s="8">
        <v>637</v>
      </c>
      <c r="S319" s="8">
        <v>689</v>
      </c>
      <c r="T319" s="8">
        <v>565</v>
      </c>
      <c r="U319" s="8">
        <v>812</v>
      </c>
      <c r="V319" s="8">
        <v>705</v>
      </c>
      <c r="W319" s="8">
        <v>672</v>
      </c>
      <c r="X319" s="8">
        <v>737</v>
      </c>
      <c r="Y319" s="8">
        <v>628</v>
      </c>
      <c r="Z319" s="8">
        <v>563</v>
      </c>
      <c r="AA319" s="8">
        <v>373</v>
      </c>
      <c r="AB319" s="8">
        <v>334</v>
      </c>
      <c r="AC319" s="8">
        <v>529</v>
      </c>
      <c r="AD319" s="8">
        <v>253</v>
      </c>
      <c r="AE319" s="8">
        <v>712</v>
      </c>
      <c r="AF319" s="8">
        <v>293</v>
      </c>
      <c r="AG319" s="8">
        <v>493</v>
      </c>
      <c r="AH319" s="8">
        <v>674</v>
      </c>
      <c r="AI319" s="8">
        <v>648</v>
      </c>
      <c r="AJ319" s="8">
        <v>1382</v>
      </c>
      <c r="AK319" s="8">
        <v>508</v>
      </c>
      <c r="AL319" s="8">
        <v>509</v>
      </c>
      <c r="AM319" s="8">
        <v>1061</v>
      </c>
      <c r="AN319" s="8">
        <v>915</v>
      </c>
      <c r="AO319" s="8">
        <v>647</v>
      </c>
      <c r="AP319" s="8">
        <v>971</v>
      </c>
      <c r="AQ319" s="8">
        <v>648</v>
      </c>
      <c r="AR319" s="8">
        <v>467</v>
      </c>
      <c r="AS319" s="8">
        <v>708</v>
      </c>
      <c r="AT319" s="8">
        <v>981</v>
      </c>
      <c r="AU319" s="8">
        <v>719</v>
      </c>
      <c r="AV319" s="8">
        <v>658</v>
      </c>
      <c r="AW319" s="8">
        <v>1307</v>
      </c>
      <c r="AX319" s="8">
        <v>710</v>
      </c>
      <c r="AY319" s="8">
        <v>545</v>
      </c>
      <c r="AZ319" s="8">
        <v>1006</v>
      </c>
      <c r="BA319" s="8">
        <v>638</v>
      </c>
      <c r="BB319" s="8">
        <v>514</v>
      </c>
      <c r="BC319" s="8">
        <v>528</v>
      </c>
      <c r="BD319" s="8">
        <v>454</v>
      </c>
      <c r="BE319" s="8">
        <v>707</v>
      </c>
      <c r="BF319" s="8">
        <v>588</v>
      </c>
      <c r="BG319" s="8">
        <v>649</v>
      </c>
      <c r="BH319" s="8">
        <v>794</v>
      </c>
      <c r="BI319" s="8">
        <v>679</v>
      </c>
      <c r="BJ319" s="8">
        <v>541</v>
      </c>
      <c r="BK319" s="8">
        <v>836</v>
      </c>
      <c r="BL319" s="8">
        <v>560</v>
      </c>
      <c r="BM319" s="8">
        <v>734</v>
      </c>
      <c r="BN319" s="8">
        <v>751</v>
      </c>
      <c r="BO319" s="8">
        <v>1775</v>
      </c>
      <c r="BP319" s="8">
        <v>667</v>
      </c>
      <c r="BQ319" s="8">
        <v>700</v>
      </c>
      <c r="BR319" s="8">
        <v>527</v>
      </c>
      <c r="BS319" s="8">
        <v>1135</v>
      </c>
      <c r="BT319" s="8">
        <v>750</v>
      </c>
      <c r="BU319" s="8">
        <v>514</v>
      </c>
      <c r="BV319" s="8">
        <v>638</v>
      </c>
      <c r="BW319" s="8">
        <v>525</v>
      </c>
      <c r="BX319" s="8">
        <v>618</v>
      </c>
      <c r="BY319" s="8">
        <v>395</v>
      </c>
      <c r="BZ319" s="8">
        <v>298</v>
      </c>
      <c r="CA319" s="8">
        <v>493</v>
      </c>
      <c r="CB319" s="8">
        <v>273</v>
      </c>
      <c r="CC319" s="8">
        <v>561</v>
      </c>
      <c r="CD319" s="8">
        <v>586</v>
      </c>
      <c r="CE319" s="8">
        <v>181</v>
      </c>
      <c r="CF319" s="8">
        <v>462</v>
      </c>
      <c r="CG319" s="8">
        <v>700</v>
      </c>
      <c r="CH319" s="8">
        <v>623</v>
      </c>
      <c r="CJ319" s="9"/>
      <c r="CK319" s="9"/>
      <c r="CL319" s="9"/>
      <c r="CM319" s="9"/>
      <c r="CN319" s="9"/>
      <c r="CO319" s="9"/>
      <c r="CP319" s="9"/>
      <c r="CQ319" s="9"/>
      <c r="CR319" s="9"/>
      <c r="CS319" s="9"/>
      <c r="CT319" s="9"/>
      <c r="CU319" s="9"/>
      <c r="CV319" s="9"/>
      <c r="CW319" s="9"/>
      <c r="CX319" s="9"/>
      <c r="CY319" s="9"/>
      <c r="CZ319" s="9"/>
      <c r="DA319" s="9"/>
      <c r="DB319" s="9"/>
      <c r="DC319" s="9"/>
      <c r="DD319" s="9"/>
      <c r="DE319" s="9"/>
      <c r="DF319" s="9"/>
      <c r="DG319" s="9"/>
      <c r="DH319" s="9"/>
      <c r="DI319" s="9"/>
      <c r="DJ319" s="9"/>
      <c r="DK319" s="9"/>
      <c r="DL319" s="9"/>
      <c r="DM319" s="9"/>
      <c r="DN319" s="9"/>
      <c r="DO319" s="9"/>
      <c r="DP319" s="9"/>
      <c r="DQ319" s="9"/>
      <c r="DR319" s="9"/>
      <c r="DS319" s="9"/>
      <c r="DT319" s="9"/>
      <c r="DU319" s="9"/>
      <c r="DV319" s="9"/>
      <c r="DW319" s="9"/>
      <c r="DX319" s="9"/>
      <c r="DY319" s="9"/>
      <c r="DZ319" s="9"/>
      <c r="EA319" s="9"/>
      <c r="EB319" s="9"/>
      <c r="EC319" s="9"/>
      <c r="ED319" s="9"/>
      <c r="EE319" s="9"/>
      <c r="EF319" s="9"/>
      <c r="EG319" s="9"/>
      <c r="EH319" s="9"/>
      <c r="EI319" s="9"/>
      <c r="EJ319" s="9"/>
      <c r="EK319" s="9"/>
      <c r="EL319" s="9"/>
      <c r="EM319" s="9"/>
      <c r="EN319" s="9"/>
      <c r="EO319" s="9"/>
      <c r="EP319" s="9"/>
      <c r="EQ319" s="9"/>
      <c r="ER319" s="9"/>
      <c r="ES319" s="9"/>
      <c r="ET319" s="9"/>
      <c r="EU319" s="9"/>
      <c r="EV319" s="9"/>
      <c r="EW319" s="9"/>
      <c r="EX319" s="9"/>
      <c r="EY319" s="9"/>
      <c r="EZ319" s="9"/>
      <c r="FA319" s="9"/>
      <c r="FB319" s="9"/>
      <c r="FC319" s="9"/>
      <c r="FD319" s="9"/>
      <c r="FE319" s="9"/>
      <c r="FF319" s="9"/>
      <c r="FG319" s="9"/>
      <c r="FH319" s="9"/>
      <c r="FI319" s="9"/>
    </row>
    <row r="320" spans="1:165" x14ac:dyDescent="0.2">
      <c r="A320" s="1" t="s">
        <v>1173</v>
      </c>
      <c r="B320" s="1" t="s">
        <v>1174</v>
      </c>
      <c r="C320" s="1" t="s">
        <v>1175</v>
      </c>
      <c r="D320" s="1" t="str">
        <f>HYPERLINK("http://eros.fiehnlab.ucdavis.edu:8080/binbase-compound/bin/show/226272?db=rtx5","226272")</f>
        <v>226272</v>
      </c>
      <c r="E320" s="1" t="s">
        <v>1176</v>
      </c>
      <c r="F320" s="1" t="s">
        <v>184</v>
      </c>
      <c r="G320" s="1" t="s">
        <v>184</v>
      </c>
      <c r="H320" s="1"/>
      <c r="I320" s="8">
        <v>198</v>
      </c>
      <c r="J320" s="8">
        <v>160</v>
      </c>
      <c r="K320" s="8">
        <v>174</v>
      </c>
      <c r="L320" s="8">
        <v>62</v>
      </c>
      <c r="M320" s="8">
        <v>200</v>
      </c>
      <c r="N320" s="8">
        <v>171</v>
      </c>
      <c r="O320" s="8">
        <v>149</v>
      </c>
      <c r="P320" s="8">
        <v>208</v>
      </c>
      <c r="Q320" s="8">
        <v>213</v>
      </c>
      <c r="R320" s="8">
        <v>226</v>
      </c>
      <c r="S320" s="8">
        <v>258</v>
      </c>
      <c r="T320" s="8">
        <v>172</v>
      </c>
      <c r="U320" s="8">
        <v>177</v>
      </c>
      <c r="V320" s="8">
        <v>122</v>
      </c>
      <c r="W320" s="8">
        <v>144</v>
      </c>
      <c r="X320" s="8">
        <v>174</v>
      </c>
      <c r="Y320" s="8">
        <v>43</v>
      </c>
      <c r="Z320" s="8">
        <v>210</v>
      </c>
      <c r="AA320" s="8">
        <v>81</v>
      </c>
      <c r="AB320" s="8">
        <v>155</v>
      </c>
      <c r="AC320" s="8">
        <v>163</v>
      </c>
      <c r="AD320" s="8">
        <v>194</v>
      </c>
      <c r="AE320" s="8">
        <v>203</v>
      </c>
      <c r="AF320" s="8">
        <v>124</v>
      </c>
      <c r="AG320" s="8">
        <v>117</v>
      </c>
      <c r="AH320" s="8">
        <v>115</v>
      </c>
      <c r="AI320" s="8">
        <v>195</v>
      </c>
      <c r="AJ320" s="8">
        <v>155</v>
      </c>
      <c r="AK320" s="8">
        <v>171</v>
      </c>
      <c r="AL320" s="8">
        <v>167</v>
      </c>
      <c r="AM320" s="8">
        <v>228</v>
      </c>
      <c r="AN320" s="8">
        <v>135</v>
      </c>
      <c r="AO320" s="8">
        <v>207</v>
      </c>
      <c r="AP320" s="8">
        <v>215</v>
      </c>
      <c r="AQ320" s="8">
        <v>231</v>
      </c>
      <c r="AR320" s="8">
        <v>171</v>
      </c>
      <c r="AS320" s="8">
        <v>112</v>
      </c>
      <c r="AT320" s="8">
        <v>140</v>
      </c>
      <c r="AU320" s="8">
        <v>73</v>
      </c>
      <c r="AV320" s="8">
        <v>174</v>
      </c>
      <c r="AW320" s="8">
        <v>155</v>
      </c>
      <c r="AX320" s="8">
        <v>190</v>
      </c>
      <c r="AY320" s="8">
        <v>247</v>
      </c>
      <c r="AZ320" s="8">
        <v>215</v>
      </c>
      <c r="BA320" s="8">
        <v>171</v>
      </c>
      <c r="BB320" s="8">
        <v>207</v>
      </c>
      <c r="BC320" s="8">
        <v>150</v>
      </c>
      <c r="BD320" s="8">
        <v>152</v>
      </c>
      <c r="BE320" s="8">
        <v>163</v>
      </c>
      <c r="BF320" s="8">
        <v>156</v>
      </c>
      <c r="BG320" s="8">
        <v>152</v>
      </c>
      <c r="BH320" s="8">
        <v>127</v>
      </c>
      <c r="BI320" s="8">
        <v>181</v>
      </c>
      <c r="BJ320" s="8">
        <v>206</v>
      </c>
      <c r="BK320" s="8">
        <v>145</v>
      </c>
      <c r="BL320" s="8">
        <v>175</v>
      </c>
      <c r="BM320" s="8">
        <v>146</v>
      </c>
      <c r="BN320" s="8">
        <v>114</v>
      </c>
      <c r="BO320" s="8">
        <v>159</v>
      </c>
      <c r="BP320" s="8">
        <v>161</v>
      </c>
      <c r="BQ320" s="8">
        <v>136</v>
      </c>
      <c r="BR320" s="8">
        <v>158</v>
      </c>
      <c r="BS320" s="8">
        <v>78</v>
      </c>
      <c r="BT320" s="8">
        <v>211</v>
      </c>
      <c r="BU320" s="8">
        <v>136</v>
      </c>
      <c r="BV320" s="8">
        <v>156</v>
      </c>
      <c r="BW320" s="8">
        <v>132</v>
      </c>
      <c r="BX320" s="8">
        <v>159</v>
      </c>
      <c r="BY320" s="8">
        <v>176</v>
      </c>
      <c r="BZ320" s="8">
        <v>165</v>
      </c>
      <c r="CA320" s="8">
        <v>176</v>
      </c>
      <c r="CB320" s="8">
        <v>151</v>
      </c>
      <c r="CC320" s="8">
        <v>117</v>
      </c>
      <c r="CD320" s="8">
        <v>134</v>
      </c>
      <c r="CE320" s="8">
        <v>106</v>
      </c>
      <c r="CF320" s="8">
        <v>197</v>
      </c>
      <c r="CG320" s="8">
        <v>150</v>
      </c>
      <c r="CH320" s="8">
        <v>169</v>
      </c>
      <c r="CJ320" s="9"/>
      <c r="CK320" s="9"/>
      <c r="CL320" s="9"/>
      <c r="CM320" s="9"/>
      <c r="CN320" s="9"/>
      <c r="CO320" s="9"/>
      <c r="CP320" s="9"/>
      <c r="CQ320" s="9"/>
      <c r="CR320" s="9"/>
      <c r="CS320" s="9"/>
      <c r="CT320" s="9"/>
      <c r="CU320" s="9"/>
      <c r="CV320" s="9"/>
      <c r="CW320" s="9"/>
      <c r="CX320" s="9"/>
      <c r="CY320" s="9"/>
      <c r="CZ320" s="9"/>
      <c r="DA320" s="9"/>
      <c r="DB320" s="9"/>
      <c r="DC320" s="9"/>
      <c r="DD320" s="9"/>
      <c r="DE320" s="9"/>
      <c r="DF320" s="9"/>
      <c r="DG320" s="9"/>
      <c r="DH320" s="9"/>
      <c r="DI320" s="9"/>
      <c r="DJ320" s="9"/>
      <c r="DK320" s="9"/>
      <c r="DL320" s="9"/>
      <c r="DM320" s="9"/>
      <c r="DN320" s="9"/>
      <c r="DO320" s="9"/>
      <c r="DP320" s="9"/>
      <c r="DQ320" s="9"/>
      <c r="DR320" s="9"/>
      <c r="DS320" s="9"/>
      <c r="DT320" s="9"/>
      <c r="DU320" s="9"/>
      <c r="DV320" s="9"/>
      <c r="DW320" s="9"/>
      <c r="DX320" s="9"/>
      <c r="DY320" s="9"/>
      <c r="DZ320" s="9"/>
      <c r="EA320" s="9"/>
      <c r="EB320" s="9"/>
      <c r="EC320" s="9"/>
      <c r="ED320" s="9"/>
      <c r="EE320" s="9"/>
      <c r="EF320" s="9"/>
      <c r="EG320" s="9"/>
      <c r="EH320" s="9"/>
      <c r="EI320" s="9"/>
      <c r="EJ320" s="9"/>
      <c r="EK320" s="9"/>
      <c r="EL320" s="9"/>
      <c r="EM320" s="9"/>
      <c r="EN320" s="9"/>
      <c r="EO320" s="9"/>
      <c r="EP320" s="9"/>
      <c r="EQ320" s="9"/>
      <c r="ER320" s="9"/>
      <c r="ES320" s="9"/>
      <c r="ET320" s="9"/>
      <c r="EU320" s="9"/>
      <c r="EV320" s="9"/>
      <c r="EW320" s="9"/>
      <c r="EX320" s="9"/>
      <c r="EY320" s="9"/>
      <c r="EZ320" s="9"/>
      <c r="FA320" s="9"/>
      <c r="FB320" s="9"/>
      <c r="FC320" s="9"/>
      <c r="FD320" s="9"/>
      <c r="FE320" s="9"/>
      <c r="FF320" s="9"/>
      <c r="FG320" s="9"/>
      <c r="FH320" s="9"/>
      <c r="FI320" s="9"/>
    </row>
    <row r="321" spans="1:165" x14ac:dyDescent="0.2">
      <c r="A321" s="1" t="s">
        <v>1161</v>
      </c>
      <c r="B321" s="1" t="s">
        <v>1162</v>
      </c>
      <c r="C321" s="1" t="s">
        <v>1159</v>
      </c>
      <c r="D321" s="1" t="str">
        <f>HYPERLINK("http://eros.fiehnlab.ucdavis.edu:8080/binbase-compound/bin/show/227658?db=rtx5","227658")</f>
        <v>227658</v>
      </c>
      <c r="E321" s="1" t="s">
        <v>1163</v>
      </c>
      <c r="F321" s="1" t="s">
        <v>184</v>
      </c>
      <c r="G321" s="1" t="s">
        <v>184</v>
      </c>
      <c r="H321" s="1"/>
      <c r="I321" s="8">
        <v>329</v>
      </c>
      <c r="J321" s="8">
        <v>225</v>
      </c>
      <c r="K321" s="8">
        <v>216</v>
      </c>
      <c r="L321" s="8">
        <v>32</v>
      </c>
      <c r="M321" s="8">
        <v>212</v>
      </c>
      <c r="N321" s="8">
        <v>168</v>
      </c>
      <c r="O321" s="8">
        <v>123</v>
      </c>
      <c r="P321" s="8">
        <v>204</v>
      </c>
      <c r="Q321" s="8">
        <v>187</v>
      </c>
      <c r="R321" s="8">
        <v>168</v>
      </c>
      <c r="S321" s="8">
        <v>139</v>
      </c>
      <c r="T321" s="8">
        <v>157</v>
      </c>
      <c r="U321" s="8">
        <v>187</v>
      </c>
      <c r="V321" s="8">
        <v>209</v>
      </c>
      <c r="W321" s="8">
        <v>120</v>
      </c>
      <c r="X321" s="8">
        <v>163</v>
      </c>
      <c r="Y321" s="8">
        <v>156</v>
      </c>
      <c r="Z321" s="8">
        <v>151</v>
      </c>
      <c r="AA321" s="8">
        <v>139</v>
      </c>
      <c r="AB321" s="8">
        <v>148</v>
      </c>
      <c r="AC321" s="8">
        <v>188</v>
      </c>
      <c r="AD321" s="8">
        <v>161</v>
      </c>
      <c r="AE321" s="8">
        <v>146</v>
      </c>
      <c r="AF321" s="8">
        <v>129</v>
      </c>
      <c r="AG321" s="8">
        <v>69</v>
      </c>
      <c r="AH321" s="8">
        <v>248</v>
      </c>
      <c r="AI321" s="8">
        <v>115</v>
      </c>
      <c r="AJ321" s="8">
        <v>134</v>
      </c>
      <c r="AK321" s="8">
        <v>147</v>
      </c>
      <c r="AL321" s="8">
        <v>173</v>
      </c>
      <c r="AM321" s="8">
        <v>350</v>
      </c>
      <c r="AN321" s="8">
        <v>242</v>
      </c>
      <c r="AO321" s="8">
        <v>231</v>
      </c>
      <c r="AP321" s="8">
        <v>189</v>
      </c>
      <c r="AQ321" s="8">
        <v>176</v>
      </c>
      <c r="AR321" s="8">
        <v>152</v>
      </c>
      <c r="AS321" s="8">
        <v>267</v>
      </c>
      <c r="AT321" s="8">
        <v>185</v>
      </c>
      <c r="AU321" s="8">
        <v>170</v>
      </c>
      <c r="AV321" s="8">
        <v>195</v>
      </c>
      <c r="AW321" s="8">
        <v>143</v>
      </c>
      <c r="AX321" s="8">
        <v>132</v>
      </c>
      <c r="AY321" s="8">
        <v>352</v>
      </c>
      <c r="AZ321" s="8">
        <v>177</v>
      </c>
      <c r="BA321" s="8">
        <v>163</v>
      </c>
      <c r="BB321" s="8">
        <v>189</v>
      </c>
      <c r="BC321" s="8">
        <v>209</v>
      </c>
      <c r="BD321" s="8">
        <v>175</v>
      </c>
      <c r="BE321" s="8">
        <v>325</v>
      </c>
      <c r="BF321" s="8">
        <v>332</v>
      </c>
      <c r="BG321" s="8">
        <v>134</v>
      </c>
      <c r="BH321" s="8">
        <v>119</v>
      </c>
      <c r="BI321" s="8">
        <v>129</v>
      </c>
      <c r="BJ321" s="8">
        <v>139</v>
      </c>
      <c r="BK321" s="8">
        <v>88</v>
      </c>
      <c r="BL321" s="8">
        <v>197</v>
      </c>
      <c r="BM321" s="8">
        <v>239</v>
      </c>
      <c r="BN321" s="8">
        <v>121</v>
      </c>
      <c r="BO321" s="8">
        <v>164</v>
      </c>
      <c r="BP321" s="8">
        <v>162</v>
      </c>
      <c r="BQ321" s="8">
        <v>221</v>
      </c>
      <c r="BR321" s="8">
        <v>280</v>
      </c>
      <c r="BS321" s="8">
        <v>109</v>
      </c>
      <c r="BT321" s="8">
        <v>165</v>
      </c>
      <c r="BU321" s="8">
        <v>129</v>
      </c>
      <c r="BV321" s="8">
        <v>154</v>
      </c>
      <c r="BW321" s="8">
        <v>238</v>
      </c>
      <c r="BX321" s="8">
        <v>196</v>
      </c>
      <c r="BY321" s="8">
        <v>296</v>
      </c>
      <c r="BZ321" s="8">
        <v>122</v>
      </c>
      <c r="CA321" s="8">
        <v>177</v>
      </c>
      <c r="CB321" s="8">
        <v>111</v>
      </c>
      <c r="CC321" s="8">
        <v>178</v>
      </c>
      <c r="CD321" s="8">
        <v>60</v>
      </c>
      <c r="CE321" s="8">
        <v>139</v>
      </c>
      <c r="CF321" s="8">
        <v>189</v>
      </c>
      <c r="CG321" s="8">
        <v>172</v>
      </c>
      <c r="CH321" s="8">
        <v>229</v>
      </c>
      <c r="CJ321" s="9"/>
      <c r="CK321" s="9"/>
      <c r="CL321" s="9"/>
      <c r="CM321" s="9"/>
      <c r="CN321" s="9"/>
      <c r="CO321" s="9"/>
      <c r="CP321" s="9"/>
      <c r="CQ321" s="9"/>
      <c r="CR321" s="9"/>
      <c r="CS321" s="9"/>
      <c r="CT321" s="9"/>
      <c r="CU321" s="9"/>
      <c r="CV321" s="9"/>
      <c r="CW321" s="9"/>
      <c r="CX321" s="9"/>
      <c r="CY321" s="9"/>
      <c r="CZ321" s="9"/>
      <c r="DA321" s="9"/>
      <c r="DB321" s="9"/>
      <c r="DC321" s="9"/>
      <c r="DD321" s="9"/>
      <c r="DE321" s="9"/>
      <c r="DF321" s="9"/>
      <c r="DG321" s="9"/>
      <c r="DH321" s="9"/>
      <c r="DI321" s="9"/>
      <c r="DJ321" s="9"/>
      <c r="DK321" s="9"/>
      <c r="DL321" s="9"/>
      <c r="DM321" s="9"/>
      <c r="DN321" s="9"/>
      <c r="DO321" s="9"/>
      <c r="DP321" s="9"/>
      <c r="DQ321" s="9"/>
      <c r="DR321" s="9"/>
      <c r="DS321" s="9"/>
      <c r="DT321" s="9"/>
      <c r="DU321" s="9"/>
      <c r="DV321" s="9"/>
      <c r="DW321" s="9"/>
      <c r="DX321" s="9"/>
      <c r="DY321" s="9"/>
      <c r="DZ321" s="9"/>
      <c r="EA321" s="9"/>
      <c r="EB321" s="9"/>
      <c r="EC321" s="9"/>
      <c r="ED321" s="9"/>
      <c r="EE321" s="9"/>
      <c r="EF321" s="9"/>
      <c r="EG321" s="9"/>
      <c r="EH321" s="9"/>
      <c r="EI321" s="9"/>
      <c r="EJ321" s="9"/>
      <c r="EK321" s="9"/>
      <c r="EL321" s="9"/>
      <c r="EM321" s="9"/>
      <c r="EN321" s="9"/>
      <c r="EO321" s="9"/>
      <c r="EP321" s="9"/>
      <c r="EQ321" s="9"/>
      <c r="ER321" s="9"/>
      <c r="ES321" s="9"/>
      <c r="ET321" s="9"/>
      <c r="EU321" s="9"/>
      <c r="EV321" s="9"/>
      <c r="EW321" s="9"/>
      <c r="EX321" s="9"/>
      <c r="EY321" s="9"/>
      <c r="EZ321" s="9"/>
      <c r="FA321" s="9"/>
      <c r="FB321" s="9"/>
      <c r="FC321" s="9"/>
      <c r="FD321" s="9"/>
      <c r="FE321" s="9"/>
      <c r="FF321" s="9"/>
      <c r="FG321" s="9"/>
      <c r="FH321" s="9"/>
      <c r="FI321" s="9"/>
    </row>
    <row r="322" spans="1:165" x14ac:dyDescent="0.2">
      <c r="A322" s="1" t="s">
        <v>1183</v>
      </c>
      <c r="B322" s="1" t="s">
        <v>1184</v>
      </c>
      <c r="C322" s="1" t="s">
        <v>359</v>
      </c>
      <c r="D322" s="1" t="str">
        <f>HYPERLINK("http://eros.fiehnlab.ucdavis.edu:8080/binbase-compound/bin/show/225362?db=rtx5","225362")</f>
        <v>225362</v>
      </c>
      <c r="E322" s="1" t="s">
        <v>1185</v>
      </c>
      <c r="F322" s="1" t="s">
        <v>184</v>
      </c>
      <c r="G322" s="1" t="s">
        <v>184</v>
      </c>
      <c r="H322" s="1"/>
      <c r="I322" s="8">
        <v>3588</v>
      </c>
      <c r="J322" s="8">
        <v>3604</v>
      </c>
      <c r="K322" s="8">
        <v>3593</v>
      </c>
      <c r="L322" s="8">
        <v>3329</v>
      </c>
      <c r="M322" s="8">
        <v>3803</v>
      </c>
      <c r="N322" s="8">
        <v>3891</v>
      </c>
      <c r="O322" s="8">
        <v>86</v>
      </c>
      <c r="P322" s="8">
        <v>77</v>
      </c>
      <c r="Q322" s="8">
        <v>89</v>
      </c>
      <c r="R322" s="8">
        <v>110</v>
      </c>
      <c r="S322" s="8">
        <v>81</v>
      </c>
      <c r="T322" s="8">
        <v>101</v>
      </c>
      <c r="U322" s="8">
        <v>92</v>
      </c>
      <c r="V322" s="8">
        <v>85</v>
      </c>
      <c r="W322" s="8">
        <v>83</v>
      </c>
      <c r="X322" s="8">
        <v>71</v>
      </c>
      <c r="Y322" s="8">
        <v>72</v>
      </c>
      <c r="Z322" s="8">
        <v>82</v>
      </c>
      <c r="AA322" s="8">
        <v>59</v>
      </c>
      <c r="AB322" s="8">
        <v>74</v>
      </c>
      <c r="AC322" s="8">
        <v>81</v>
      </c>
      <c r="AD322" s="8">
        <v>84</v>
      </c>
      <c r="AE322" s="8">
        <v>89</v>
      </c>
      <c r="AF322" s="8">
        <v>66</v>
      </c>
      <c r="AG322" s="8">
        <v>89</v>
      </c>
      <c r="AH322" s="8">
        <v>71</v>
      </c>
      <c r="AI322" s="8">
        <v>82</v>
      </c>
      <c r="AJ322" s="8">
        <v>118</v>
      </c>
      <c r="AK322" s="8">
        <v>71</v>
      </c>
      <c r="AL322" s="8">
        <v>99</v>
      </c>
      <c r="AM322" s="8">
        <v>99</v>
      </c>
      <c r="AN322" s="8">
        <v>145</v>
      </c>
      <c r="AO322" s="8">
        <v>89</v>
      </c>
      <c r="AP322" s="8">
        <v>87</v>
      </c>
      <c r="AQ322" s="8">
        <v>87</v>
      </c>
      <c r="AR322" s="8">
        <v>66</v>
      </c>
      <c r="AS322" s="8">
        <v>109</v>
      </c>
      <c r="AT322" s="8">
        <v>94</v>
      </c>
      <c r="AU322" s="8">
        <v>94</v>
      </c>
      <c r="AV322" s="8">
        <v>83</v>
      </c>
      <c r="AW322" s="8">
        <v>68</v>
      </c>
      <c r="AX322" s="8">
        <v>74</v>
      </c>
      <c r="AY322" s="8">
        <v>95</v>
      </c>
      <c r="AZ322" s="8">
        <v>123</v>
      </c>
      <c r="BA322" s="8">
        <v>83</v>
      </c>
      <c r="BB322" s="8">
        <v>76</v>
      </c>
      <c r="BC322" s="8">
        <v>73</v>
      </c>
      <c r="BD322" s="8">
        <v>88</v>
      </c>
      <c r="BE322" s="8">
        <v>94</v>
      </c>
      <c r="BF322" s="8">
        <v>104</v>
      </c>
      <c r="BG322" s="8">
        <v>83</v>
      </c>
      <c r="BH322" s="8">
        <v>77</v>
      </c>
      <c r="BI322" s="8">
        <v>70</v>
      </c>
      <c r="BJ322" s="8">
        <v>65</v>
      </c>
      <c r="BK322" s="8">
        <v>86</v>
      </c>
      <c r="BL322" s="8">
        <v>84</v>
      </c>
      <c r="BM322" s="8">
        <v>78</v>
      </c>
      <c r="BN322" s="8">
        <v>71</v>
      </c>
      <c r="BO322" s="8">
        <v>88</v>
      </c>
      <c r="BP322" s="8">
        <v>108</v>
      </c>
      <c r="BQ322" s="8">
        <v>110</v>
      </c>
      <c r="BR322" s="8">
        <v>117</v>
      </c>
      <c r="BS322" s="8">
        <v>81</v>
      </c>
      <c r="BT322" s="8">
        <v>98</v>
      </c>
      <c r="BU322" s="8">
        <v>87</v>
      </c>
      <c r="BV322" s="8">
        <v>69</v>
      </c>
      <c r="BW322" s="8">
        <v>128</v>
      </c>
      <c r="BX322" s="8">
        <v>81</v>
      </c>
      <c r="BY322" s="8">
        <v>73</v>
      </c>
      <c r="BZ322" s="8">
        <v>112</v>
      </c>
      <c r="CA322" s="8">
        <v>70</v>
      </c>
      <c r="CB322" s="8">
        <v>54</v>
      </c>
      <c r="CC322" s="8">
        <v>70</v>
      </c>
      <c r="CD322" s="8">
        <v>82</v>
      </c>
      <c r="CE322" s="8">
        <v>73</v>
      </c>
      <c r="CF322" s="8">
        <v>53</v>
      </c>
      <c r="CG322" s="8">
        <v>58</v>
      </c>
      <c r="CH322" s="8">
        <v>84</v>
      </c>
      <c r="CJ322" s="9"/>
      <c r="CK322" s="9"/>
      <c r="CL322" s="9"/>
      <c r="CM322" s="9"/>
      <c r="CN322" s="9"/>
      <c r="CO322" s="9"/>
      <c r="CP322" s="9"/>
      <c r="CQ322" s="9"/>
      <c r="CR322" s="9"/>
      <c r="CS322" s="9"/>
      <c r="CT322" s="9"/>
      <c r="CU322" s="9"/>
      <c r="CV322" s="9"/>
      <c r="CW322" s="9"/>
      <c r="CX322" s="9"/>
      <c r="CY322" s="9"/>
      <c r="CZ322" s="9"/>
      <c r="DA322" s="9"/>
      <c r="DB322" s="9"/>
      <c r="DC322" s="9"/>
      <c r="DD322" s="9"/>
      <c r="DE322" s="9"/>
      <c r="DF322" s="9"/>
      <c r="DG322" s="9"/>
      <c r="DH322" s="9"/>
      <c r="DI322" s="9"/>
      <c r="DJ322" s="9"/>
      <c r="DK322" s="9"/>
      <c r="DL322" s="9"/>
      <c r="DM322" s="9"/>
      <c r="DN322" s="9"/>
      <c r="DO322" s="9"/>
      <c r="DP322" s="9"/>
      <c r="DQ322" s="9"/>
      <c r="DR322" s="9"/>
      <c r="DS322" s="9"/>
      <c r="DT322" s="9"/>
      <c r="DU322" s="9"/>
      <c r="DV322" s="9"/>
      <c r="DW322" s="9"/>
      <c r="DX322" s="9"/>
      <c r="DY322" s="9"/>
      <c r="DZ322" s="9"/>
      <c r="EA322" s="9"/>
      <c r="EB322" s="9"/>
      <c r="EC322" s="9"/>
      <c r="ED322" s="9"/>
      <c r="EE322" s="9"/>
      <c r="EF322" s="9"/>
      <c r="EG322" s="9"/>
      <c r="EH322" s="9"/>
      <c r="EI322" s="9"/>
      <c r="EJ322" s="9"/>
      <c r="EK322" s="9"/>
      <c r="EL322" s="9"/>
      <c r="EM322" s="9"/>
      <c r="EN322" s="9"/>
      <c r="EO322" s="9"/>
      <c r="EP322" s="9"/>
      <c r="EQ322" s="9"/>
      <c r="ER322" s="9"/>
      <c r="ES322" s="9"/>
      <c r="ET322" s="9"/>
      <c r="EU322" s="9"/>
      <c r="EV322" s="9"/>
      <c r="EW322" s="9"/>
      <c r="EX322" s="9"/>
      <c r="EY322" s="9"/>
      <c r="EZ322" s="9"/>
      <c r="FA322" s="9"/>
      <c r="FB322" s="9"/>
      <c r="FC322" s="9"/>
      <c r="FD322" s="9"/>
      <c r="FE322" s="9"/>
      <c r="FF322" s="9"/>
      <c r="FG322" s="9"/>
      <c r="FH322" s="9"/>
      <c r="FI322" s="9"/>
    </row>
    <row r="323" spans="1:165" x14ac:dyDescent="0.2">
      <c r="A323" s="1" t="s">
        <v>673</v>
      </c>
      <c r="B323" s="1" t="s">
        <v>674</v>
      </c>
      <c r="C323" s="1" t="s">
        <v>457</v>
      </c>
      <c r="D323" s="1" t="str">
        <f>HYPERLINK("http://eros.fiehnlab.ucdavis.edu:8080/binbase-compound/bin/show/373752?db=rtx5","373752")</f>
        <v>373752</v>
      </c>
      <c r="E323" s="1" t="s">
        <v>675</v>
      </c>
      <c r="F323" s="1" t="s">
        <v>184</v>
      </c>
      <c r="G323" s="1" t="s">
        <v>184</v>
      </c>
      <c r="H323" s="1"/>
      <c r="I323" s="8">
        <v>2913</v>
      </c>
      <c r="J323" s="8">
        <v>5219</v>
      </c>
      <c r="K323" s="8">
        <v>1689</v>
      </c>
      <c r="L323" s="8">
        <v>3412</v>
      </c>
      <c r="M323" s="8">
        <v>6756</v>
      </c>
      <c r="N323" s="8">
        <v>6290</v>
      </c>
      <c r="O323" s="8">
        <v>297</v>
      </c>
      <c r="P323" s="8">
        <v>316</v>
      </c>
      <c r="Q323" s="8">
        <v>282</v>
      </c>
      <c r="R323" s="8">
        <v>307</v>
      </c>
      <c r="S323" s="8">
        <v>262</v>
      </c>
      <c r="T323" s="8">
        <v>157</v>
      </c>
      <c r="U323" s="8">
        <v>368</v>
      </c>
      <c r="V323" s="8">
        <v>282</v>
      </c>
      <c r="W323" s="8">
        <v>245</v>
      </c>
      <c r="X323" s="8">
        <v>260</v>
      </c>
      <c r="Y323" s="8">
        <v>166</v>
      </c>
      <c r="Z323" s="8">
        <v>215</v>
      </c>
      <c r="AA323" s="8">
        <v>152</v>
      </c>
      <c r="AB323" s="8">
        <v>324</v>
      </c>
      <c r="AC323" s="8">
        <v>479</v>
      </c>
      <c r="AD323" s="8">
        <v>227</v>
      </c>
      <c r="AE323" s="8">
        <v>297</v>
      </c>
      <c r="AF323" s="8">
        <v>159</v>
      </c>
      <c r="AG323" s="8">
        <v>258</v>
      </c>
      <c r="AH323" s="8">
        <v>256</v>
      </c>
      <c r="AI323" s="8">
        <v>278</v>
      </c>
      <c r="AJ323" s="8">
        <v>349</v>
      </c>
      <c r="AK323" s="8">
        <v>159</v>
      </c>
      <c r="AL323" s="8">
        <v>218</v>
      </c>
      <c r="AM323" s="8">
        <v>332</v>
      </c>
      <c r="AN323" s="8">
        <v>307</v>
      </c>
      <c r="AO323" s="8">
        <v>310</v>
      </c>
      <c r="AP323" s="8">
        <v>305</v>
      </c>
      <c r="AQ323" s="8">
        <v>265</v>
      </c>
      <c r="AR323" s="8">
        <v>206</v>
      </c>
      <c r="AS323" s="8">
        <v>279</v>
      </c>
      <c r="AT323" s="8">
        <v>230</v>
      </c>
      <c r="AU323" s="8">
        <v>196</v>
      </c>
      <c r="AV323" s="8">
        <v>345</v>
      </c>
      <c r="AW323" s="8">
        <v>237</v>
      </c>
      <c r="AX323" s="8">
        <v>222</v>
      </c>
      <c r="AY323" s="8">
        <v>247</v>
      </c>
      <c r="AZ323" s="8">
        <v>320</v>
      </c>
      <c r="BA323" s="8">
        <v>235</v>
      </c>
      <c r="BB323" s="8">
        <v>251</v>
      </c>
      <c r="BC323" s="8">
        <v>239</v>
      </c>
      <c r="BD323" s="8">
        <v>237</v>
      </c>
      <c r="BE323" s="8">
        <v>370</v>
      </c>
      <c r="BF323" s="8">
        <v>317</v>
      </c>
      <c r="BG323" s="8">
        <v>295</v>
      </c>
      <c r="BH323" s="8">
        <v>205</v>
      </c>
      <c r="BI323" s="8">
        <v>239</v>
      </c>
      <c r="BJ323" s="8">
        <v>319</v>
      </c>
      <c r="BK323" s="8">
        <v>272</v>
      </c>
      <c r="BL323" s="8">
        <v>247</v>
      </c>
      <c r="BM323" s="8">
        <v>268</v>
      </c>
      <c r="BN323" s="8">
        <v>196</v>
      </c>
      <c r="BO323" s="8">
        <v>251</v>
      </c>
      <c r="BP323" s="8">
        <v>246</v>
      </c>
      <c r="BQ323" s="8">
        <v>322</v>
      </c>
      <c r="BR323" s="8">
        <v>270</v>
      </c>
      <c r="BS323" s="8">
        <v>246</v>
      </c>
      <c r="BT323" s="8">
        <v>265</v>
      </c>
      <c r="BU323" s="8">
        <v>199</v>
      </c>
      <c r="BV323" s="8">
        <v>243</v>
      </c>
      <c r="BW323" s="8">
        <v>267</v>
      </c>
      <c r="BX323" s="8">
        <v>315</v>
      </c>
      <c r="BY323" s="8">
        <v>345</v>
      </c>
      <c r="BZ323" s="8">
        <v>281</v>
      </c>
      <c r="CA323" s="8">
        <v>223</v>
      </c>
      <c r="CB323" s="8">
        <v>173</v>
      </c>
      <c r="CC323" s="8">
        <v>273</v>
      </c>
      <c r="CD323" s="8">
        <v>622</v>
      </c>
      <c r="CE323" s="8">
        <v>302</v>
      </c>
      <c r="CF323" s="8">
        <v>205</v>
      </c>
      <c r="CG323" s="8">
        <v>272</v>
      </c>
      <c r="CH323" s="8">
        <v>242</v>
      </c>
      <c r="CJ323" s="9"/>
      <c r="CK323" s="9"/>
      <c r="CL323" s="9"/>
      <c r="CM323" s="9"/>
      <c r="CN323" s="9"/>
      <c r="CO323" s="9"/>
      <c r="CP323" s="9"/>
      <c r="CQ323" s="9"/>
      <c r="CR323" s="9"/>
      <c r="CS323" s="9"/>
      <c r="CT323" s="9"/>
      <c r="CU323" s="9"/>
      <c r="CV323" s="9"/>
      <c r="CW323" s="9"/>
      <c r="CX323" s="9"/>
      <c r="CY323" s="9"/>
      <c r="CZ323" s="9"/>
      <c r="DA323" s="9"/>
      <c r="DB323" s="9"/>
      <c r="DC323" s="9"/>
      <c r="DD323" s="9"/>
      <c r="DE323" s="9"/>
      <c r="DF323" s="9"/>
      <c r="DG323" s="9"/>
      <c r="DH323" s="9"/>
      <c r="DI323" s="9"/>
      <c r="DJ323" s="9"/>
      <c r="DK323" s="9"/>
      <c r="DL323" s="9"/>
      <c r="DM323" s="9"/>
      <c r="DN323" s="9"/>
      <c r="DO323" s="9"/>
      <c r="DP323" s="9"/>
      <c r="DQ323" s="9"/>
      <c r="DR323" s="9"/>
      <c r="DS323" s="9"/>
      <c r="DT323" s="9"/>
      <c r="DU323" s="9"/>
      <c r="DV323" s="9"/>
      <c r="DW323" s="9"/>
      <c r="DX323" s="9"/>
      <c r="DY323" s="9"/>
      <c r="DZ323" s="9"/>
      <c r="EA323" s="9"/>
      <c r="EB323" s="9"/>
      <c r="EC323" s="9"/>
      <c r="ED323" s="9"/>
      <c r="EE323" s="9"/>
      <c r="EF323" s="9"/>
      <c r="EG323" s="9"/>
      <c r="EH323" s="9"/>
      <c r="EI323" s="9"/>
      <c r="EJ323" s="9"/>
      <c r="EK323" s="9"/>
      <c r="EL323" s="9"/>
      <c r="EM323" s="9"/>
      <c r="EN323" s="9"/>
      <c r="EO323" s="9"/>
      <c r="EP323" s="9"/>
      <c r="EQ323" s="9"/>
      <c r="ER323" s="9"/>
      <c r="ES323" s="9"/>
      <c r="ET323" s="9"/>
      <c r="EU323" s="9"/>
      <c r="EV323" s="9"/>
      <c r="EW323" s="9"/>
      <c r="EX323" s="9"/>
      <c r="EY323" s="9"/>
      <c r="EZ323" s="9"/>
      <c r="FA323" s="9"/>
      <c r="FB323" s="9"/>
      <c r="FC323" s="9"/>
      <c r="FD323" s="9"/>
      <c r="FE323" s="9"/>
      <c r="FF323" s="9"/>
      <c r="FG323" s="9"/>
      <c r="FH323" s="9"/>
      <c r="FI323" s="9"/>
    </row>
    <row r="324" spans="1:165" x14ac:dyDescent="0.2">
      <c r="A324" s="1" t="s">
        <v>667</v>
      </c>
      <c r="B324" s="1" t="s">
        <v>668</v>
      </c>
      <c r="C324" s="1" t="s">
        <v>273</v>
      </c>
      <c r="D324" s="1" t="str">
        <f>HYPERLINK("http://eros.fiehnlab.ucdavis.edu:8080/binbase-compound/bin/show/373792?db=rtx5","373792")</f>
        <v>373792</v>
      </c>
      <c r="E324" s="1" t="s">
        <v>669</v>
      </c>
      <c r="F324" s="1" t="s">
        <v>184</v>
      </c>
      <c r="G324" s="1" t="s">
        <v>184</v>
      </c>
      <c r="H324" s="1"/>
      <c r="I324" s="8">
        <v>1612</v>
      </c>
      <c r="J324" s="8">
        <v>1531</v>
      </c>
      <c r="K324" s="8">
        <v>1743</v>
      </c>
      <c r="L324" s="8">
        <v>1753</v>
      </c>
      <c r="M324" s="8">
        <v>1740</v>
      </c>
      <c r="N324" s="8">
        <v>1582</v>
      </c>
      <c r="O324" s="8">
        <v>1828</v>
      </c>
      <c r="P324" s="8">
        <v>2275</v>
      </c>
      <c r="Q324" s="8">
        <v>1800</v>
      </c>
      <c r="R324" s="8">
        <v>2295</v>
      </c>
      <c r="S324" s="8">
        <v>2249</v>
      </c>
      <c r="T324" s="8">
        <v>855</v>
      </c>
      <c r="U324" s="8">
        <v>1226</v>
      </c>
      <c r="V324" s="8">
        <v>807</v>
      </c>
      <c r="W324" s="8">
        <v>1178</v>
      </c>
      <c r="X324" s="8">
        <v>793</v>
      </c>
      <c r="Y324" s="8">
        <v>791</v>
      </c>
      <c r="Z324" s="8">
        <v>1102</v>
      </c>
      <c r="AA324" s="8">
        <v>606</v>
      </c>
      <c r="AB324" s="8">
        <v>980</v>
      </c>
      <c r="AC324" s="8">
        <v>1498</v>
      </c>
      <c r="AD324" s="8">
        <v>984</v>
      </c>
      <c r="AE324" s="8">
        <v>1733</v>
      </c>
      <c r="AF324" s="8">
        <v>739</v>
      </c>
      <c r="AG324" s="8">
        <v>973</v>
      </c>
      <c r="AH324" s="8">
        <v>1459</v>
      </c>
      <c r="AI324" s="8">
        <v>884</v>
      </c>
      <c r="AJ324" s="8">
        <v>1522</v>
      </c>
      <c r="AK324" s="8">
        <v>854</v>
      </c>
      <c r="AL324" s="8">
        <v>1622</v>
      </c>
      <c r="AM324" s="8">
        <v>2150</v>
      </c>
      <c r="AN324" s="8">
        <v>2426</v>
      </c>
      <c r="AO324" s="8">
        <v>1351</v>
      </c>
      <c r="AP324" s="8">
        <v>1992</v>
      </c>
      <c r="AQ324" s="8">
        <v>2243</v>
      </c>
      <c r="AR324" s="8">
        <v>1714</v>
      </c>
      <c r="AS324" s="8">
        <v>577</v>
      </c>
      <c r="AT324" s="8">
        <v>424</v>
      </c>
      <c r="AU324" s="8">
        <v>440</v>
      </c>
      <c r="AV324" s="8">
        <v>538</v>
      </c>
      <c r="AW324" s="8">
        <v>455</v>
      </c>
      <c r="AX324" s="8">
        <v>503</v>
      </c>
      <c r="AY324" s="8">
        <v>350</v>
      </c>
      <c r="AZ324" s="8">
        <v>315</v>
      </c>
      <c r="BA324" s="8">
        <v>261</v>
      </c>
      <c r="BB324" s="8">
        <v>279</v>
      </c>
      <c r="BC324" s="8">
        <v>241</v>
      </c>
      <c r="BD324" s="8">
        <v>259</v>
      </c>
      <c r="BE324" s="8">
        <v>564</v>
      </c>
      <c r="BF324" s="8">
        <v>822</v>
      </c>
      <c r="BG324" s="8">
        <v>340</v>
      </c>
      <c r="BH324" s="8">
        <v>357</v>
      </c>
      <c r="BI324" s="8">
        <v>621</v>
      </c>
      <c r="BJ324" s="8">
        <v>344</v>
      </c>
      <c r="BK324" s="8">
        <v>1563</v>
      </c>
      <c r="BL324" s="8">
        <v>1283</v>
      </c>
      <c r="BM324" s="8">
        <v>1506</v>
      </c>
      <c r="BN324" s="8">
        <v>1275</v>
      </c>
      <c r="BO324" s="8">
        <v>1361</v>
      </c>
      <c r="BP324" s="8">
        <v>1053</v>
      </c>
      <c r="BQ324" s="8">
        <v>1157</v>
      </c>
      <c r="BR324" s="8">
        <v>1868</v>
      </c>
      <c r="BS324" s="8">
        <v>1266</v>
      </c>
      <c r="BT324" s="8">
        <v>977</v>
      </c>
      <c r="BU324" s="8">
        <v>1104</v>
      </c>
      <c r="BV324" s="8">
        <v>1074</v>
      </c>
      <c r="BW324" s="8">
        <v>1417</v>
      </c>
      <c r="BX324" s="8">
        <v>1544</v>
      </c>
      <c r="BY324" s="8">
        <v>1139</v>
      </c>
      <c r="BZ324" s="8">
        <v>1281</v>
      </c>
      <c r="CA324" s="8">
        <v>1005</v>
      </c>
      <c r="CB324" s="8">
        <v>1192</v>
      </c>
      <c r="CC324" s="8">
        <v>1246</v>
      </c>
      <c r="CD324" s="8">
        <v>1044</v>
      </c>
      <c r="CE324" s="8">
        <v>1115</v>
      </c>
      <c r="CF324" s="8">
        <v>935</v>
      </c>
      <c r="CG324" s="8">
        <v>860</v>
      </c>
      <c r="CH324" s="8">
        <v>1246</v>
      </c>
      <c r="CJ324" s="9"/>
      <c r="CK324" s="9"/>
      <c r="CL324" s="9"/>
      <c r="CM324" s="9"/>
      <c r="CN324" s="9"/>
      <c r="CO324" s="9"/>
      <c r="CP324" s="9"/>
      <c r="CQ324" s="9"/>
      <c r="CR324" s="9"/>
      <c r="CS324" s="9"/>
      <c r="CT324" s="9"/>
      <c r="CU324" s="9"/>
      <c r="CV324" s="9"/>
      <c r="CW324" s="9"/>
      <c r="CX324" s="9"/>
      <c r="CY324" s="9"/>
      <c r="CZ324" s="9"/>
      <c r="DA324" s="9"/>
      <c r="DB324" s="9"/>
      <c r="DC324" s="9"/>
      <c r="DD324" s="9"/>
      <c r="DE324" s="9"/>
      <c r="DF324" s="9"/>
      <c r="DG324" s="9"/>
      <c r="DH324" s="9"/>
      <c r="DI324" s="9"/>
      <c r="DJ324" s="9"/>
      <c r="DK324" s="9"/>
      <c r="DL324" s="9"/>
      <c r="DM324" s="9"/>
      <c r="DN324" s="9"/>
      <c r="DO324" s="9"/>
      <c r="DP324" s="9"/>
      <c r="DQ324" s="9"/>
      <c r="DR324" s="9"/>
      <c r="DS324" s="9"/>
      <c r="DT324" s="9"/>
      <c r="DU324" s="9"/>
      <c r="DV324" s="9"/>
      <c r="DW324" s="9"/>
      <c r="DX324" s="9"/>
      <c r="DY324" s="9"/>
      <c r="DZ324" s="9"/>
      <c r="EA324" s="9"/>
      <c r="EB324" s="9"/>
      <c r="EC324" s="9"/>
      <c r="ED324" s="9"/>
      <c r="EE324" s="9"/>
      <c r="EF324" s="9"/>
      <c r="EG324" s="9"/>
      <c r="EH324" s="9"/>
      <c r="EI324" s="9"/>
      <c r="EJ324" s="9"/>
      <c r="EK324" s="9"/>
      <c r="EL324" s="9"/>
      <c r="EM324" s="9"/>
      <c r="EN324" s="9"/>
      <c r="EO324" s="9"/>
      <c r="EP324" s="9"/>
      <c r="EQ324" s="9"/>
      <c r="ER324" s="9"/>
      <c r="ES324" s="9"/>
      <c r="ET324" s="9"/>
      <c r="EU324" s="9"/>
      <c r="EV324" s="9"/>
      <c r="EW324" s="9"/>
      <c r="EX324" s="9"/>
      <c r="EY324" s="9"/>
      <c r="EZ324" s="9"/>
      <c r="FA324" s="9"/>
      <c r="FB324" s="9"/>
      <c r="FC324" s="9"/>
      <c r="FD324" s="9"/>
      <c r="FE324" s="9"/>
      <c r="FF324" s="9"/>
      <c r="FG324" s="9"/>
      <c r="FH324" s="9"/>
      <c r="FI324" s="9"/>
    </row>
    <row r="325" spans="1:165" x14ac:dyDescent="0.2">
      <c r="A325" s="1" t="s">
        <v>1242</v>
      </c>
      <c r="B325" s="1" t="s">
        <v>1243</v>
      </c>
      <c r="C325" s="1" t="s">
        <v>534</v>
      </c>
      <c r="D325" s="1" t="str">
        <f>HYPERLINK("http://eros.fiehnlab.ucdavis.edu:8080/binbase-compound/bin/show/220010?db=rtx5","220010")</f>
        <v>220010</v>
      </c>
      <c r="E325" s="1" t="s">
        <v>1244</v>
      </c>
      <c r="F325" s="1" t="s">
        <v>184</v>
      </c>
      <c r="G325" s="1" t="s">
        <v>184</v>
      </c>
      <c r="H325" s="1"/>
      <c r="I325" s="8">
        <v>300</v>
      </c>
      <c r="J325" s="8">
        <v>322</v>
      </c>
      <c r="K325" s="8">
        <v>371</v>
      </c>
      <c r="L325" s="8">
        <v>208</v>
      </c>
      <c r="M325" s="8">
        <v>327</v>
      </c>
      <c r="N325" s="8">
        <v>267</v>
      </c>
      <c r="O325" s="8">
        <v>292</v>
      </c>
      <c r="P325" s="8">
        <v>247</v>
      </c>
      <c r="Q325" s="8">
        <v>284</v>
      </c>
      <c r="R325" s="8">
        <v>405</v>
      </c>
      <c r="S325" s="8">
        <v>426</v>
      </c>
      <c r="T325" s="8">
        <v>172</v>
      </c>
      <c r="U325" s="8">
        <v>282</v>
      </c>
      <c r="V325" s="8">
        <v>412</v>
      </c>
      <c r="W325" s="8">
        <v>187</v>
      </c>
      <c r="X325" s="8">
        <v>237</v>
      </c>
      <c r="Y325" s="8">
        <v>262</v>
      </c>
      <c r="Z325" s="8">
        <v>198</v>
      </c>
      <c r="AA325" s="8">
        <v>112</v>
      </c>
      <c r="AB325" s="8">
        <v>441</v>
      </c>
      <c r="AC325" s="8">
        <v>555</v>
      </c>
      <c r="AD325" s="8">
        <v>273</v>
      </c>
      <c r="AE325" s="8">
        <v>181</v>
      </c>
      <c r="AF325" s="8">
        <v>192</v>
      </c>
      <c r="AG325" s="8">
        <v>294</v>
      </c>
      <c r="AH325" s="8">
        <v>297</v>
      </c>
      <c r="AI325" s="8">
        <v>231</v>
      </c>
      <c r="AJ325" s="8">
        <v>236</v>
      </c>
      <c r="AK325" s="8">
        <v>206</v>
      </c>
      <c r="AL325" s="8">
        <v>212</v>
      </c>
      <c r="AM325" s="8">
        <v>413</v>
      </c>
      <c r="AN325" s="8">
        <v>644</v>
      </c>
      <c r="AO325" s="8">
        <v>295</v>
      </c>
      <c r="AP325" s="8">
        <v>344</v>
      </c>
      <c r="AQ325" s="8">
        <v>421</v>
      </c>
      <c r="AR325" s="8">
        <v>179</v>
      </c>
      <c r="AS325" s="8">
        <v>459</v>
      </c>
      <c r="AT325" s="8">
        <v>451</v>
      </c>
      <c r="AU325" s="8">
        <v>262</v>
      </c>
      <c r="AV325" s="8">
        <v>288</v>
      </c>
      <c r="AW325" s="8">
        <v>260</v>
      </c>
      <c r="AX325" s="8">
        <v>284</v>
      </c>
      <c r="AY325" s="8">
        <v>454</v>
      </c>
      <c r="AZ325" s="8">
        <v>263</v>
      </c>
      <c r="BA325" s="8">
        <v>131</v>
      </c>
      <c r="BB325" s="8">
        <v>258</v>
      </c>
      <c r="BC325" s="8">
        <v>463</v>
      </c>
      <c r="BD325" s="8">
        <v>306</v>
      </c>
      <c r="BE325" s="8">
        <v>427</v>
      </c>
      <c r="BF325" s="8">
        <v>536</v>
      </c>
      <c r="BG325" s="8">
        <v>310</v>
      </c>
      <c r="BH325" s="8">
        <v>157</v>
      </c>
      <c r="BI325" s="8">
        <v>149</v>
      </c>
      <c r="BJ325" s="8">
        <v>460</v>
      </c>
      <c r="BK325" s="8">
        <v>659</v>
      </c>
      <c r="BL325" s="8">
        <v>354</v>
      </c>
      <c r="BM325" s="8">
        <v>218</v>
      </c>
      <c r="BN325" s="8">
        <v>204</v>
      </c>
      <c r="BO325" s="8">
        <v>259</v>
      </c>
      <c r="BP325" s="8">
        <v>144</v>
      </c>
      <c r="BQ325" s="8">
        <v>353</v>
      </c>
      <c r="BR325" s="8">
        <v>356</v>
      </c>
      <c r="BS325" s="8">
        <v>489</v>
      </c>
      <c r="BT325" s="8">
        <v>302</v>
      </c>
      <c r="BU325" s="8">
        <v>245</v>
      </c>
      <c r="BV325" s="8">
        <v>176</v>
      </c>
      <c r="BW325" s="8">
        <v>462</v>
      </c>
      <c r="BX325" s="8">
        <v>337</v>
      </c>
      <c r="BY325" s="8">
        <v>328</v>
      </c>
      <c r="BZ325" s="8">
        <v>174</v>
      </c>
      <c r="CA325" s="8">
        <v>329</v>
      </c>
      <c r="CB325" s="8">
        <v>291</v>
      </c>
      <c r="CC325" s="8">
        <v>493</v>
      </c>
      <c r="CD325" s="8">
        <v>290</v>
      </c>
      <c r="CE325" s="8">
        <v>440</v>
      </c>
      <c r="CF325" s="8">
        <v>266</v>
      </c>
      <c r="CG325" s="8">
        <v>185</v>
      </c>
      <c r="CH325" s="8">
        <v>317</v>
      </c>
      <c r="CJ325" s="9"/>
      <c r="CK325" s="9"/>
      <c r="CL325" s="9"/>
      <c r="CM325" s="9"/>
      <c r="CN325" s="9"/>
      <c r="CO325" s="9"/>
      <c r="CP325" s="9"/>
      <c r="CQ325" s="9"/>
      <c r="CR325" s="9"/>
      <c r="CS325" s="9"/>
      <c r="CT325" s="9"/>
      <c r="CU325" s="9"/>
      <c r="CV325" s="9"/>
      <c r="CW325" s="9"/>
      <c r="CX325" s="9"/>
      <c r="CY325" s="9"/>
      <c r="CZ325" s="9"/>
      <c r="DA325" s="9"/>
      <c r="DB325" s="9"/>
      <c r="DC325" s="9"/>
      <c r="DD325" s="9"/>
      <c r="DE325" s="9"/>
      <c r="DF325" s="9"/>
      <c r="DG325" s="9"/>
      <c r="DH325" s="9"/>
      <c r="DI325" s="9"/>
      <c r="DJ325" s="9"/>
      <c r="DK325" s="9"/>
      <c r="DL325" s="9"/>
      <c r="DM325" s="9"/>
      <c r="DN325" s="9"/>
      <c r="DO325" s="9"/>
      <c r="DP325" s="9"/>
      <c r="DQ325" s="9"/>
      <c r="DR325" s="9"/>
      <c r="DS325" s="9"/>
      <c r="DT325" s="9"/>
      <c r="DU325" s="9"/>
      <c r="DV325" s="9"/>
      <c r="DW325" s="9"/>
      <c r="DX325" s="9"/>
      <c r="DY325" s="9"/>
      <c r="DZ325" s="9"/>
      <c r="EA325" s="9"/>
      <c r="EB325" s="9"/>
      <c r="EC325" s="9"/>
      <c r="ED325" s="9"/>
      <c r="EE325" s="9"/>
      <c r="EF325" s="9"/>
      <c r="EG325" s="9"/>
      <c r="EH325" s="9"/>
      <c r="EI325" s="9"/>
      <c r="EJ325" s="9"/>
      <c r="EK325" s="9"/>
      <c r="EL325" s="9"/>
      <c r="EM325" s="9"/>
      <c r="EN325" s="9"/>
      <c r="EO325" s="9"/>
      <c r="EP325" s="9"/>
      <c r="EQ325" s="9"/>
      <c r="ER325" s="9"/>
      <c r="ES325" s="9"/>
      <c r="ET325" s="9"/>
      <c r="EU325" s="9"/>
      <c r="EV325" s="9"/>
      <c r="EW325" s="9"/>
      <c r="EX325" s="9"/>
      <c r="EY325" s="9"/>
      <c r="EZ325" s="9"/>
      <c r="FA325" s="9"/>
      <c r="FB325" s="9"/>
      <c r="FC325" s="9"/>
      <c r="FD325" s="9"/>
      <c r="FE325" s="9"/>
      <c r="FF325" s="9"/>
      <c r="FG325" s="9"/>
      <c r="FH325" s="9"/>
      <c r="FI325" s="9"/>
    </row>
    <row r="326" spans="1:165" x14ac:dyDescent="0.2">
      <c r="A326" s="1" t="s">
        <v>1090</v>
      </c>
      <c r="B326" s="1" t="s">
        <v>1091</v>
      </c>
      <c r="C326" s="1" t="s">
        <v>1092</v>
      </c>
      <c r="D326" s="1" t="str">
        <f>HYPERLINK("http://eros.fiehnlab.ucdavis.edu:8080/binbase-compound/bin/show/234558?db=rtx5","234558")</f>
        <v>234558</v>
      </c>
      <c r="E326" s="1" t="s">
        <v>1093</v>
      </c>
      <c r="F326" s="1" t="s">
        <v>184</v>
      </c>
      <c r="G326" s="1" t="s">
        <v>184</v>
      </c>
      <c r="H326" s="1"/>
      <c r="I326" s="8">
        <v>353</v>
      </c>
      <c r="J326" s="8">
        <v>305</v>
      </c>
      <c r="K326" s="8">
        <v>319</v>
      </c>
      <c r="L326" s="8">
        <v>331</v>
      </c>
      <c r="M326" s="8">
        <v>263</v>
      </c>
      <c r="N326" s="8">
        <v>245</v>
      </c>
      <c r="O326" s="8">
        <v>202</v>
      </c>
      <c r="P326" s="8">
        <v>280</v>
      </c>
      <c r="Q326" s="8">
        <v>519</v>
      </c>
      <c r="R326" s="8">
        <v>234</v>
      </c>
      <c r="S326" s="8">
        <v>303</v>
      </c>
      <c r="T326" s="8">
        <v>255</v>
      </c>
      <c r="U326" s="8">
        <v>239</v>
      </c>
      <c r="V326" s="8">
        <v>368</v>
      </c>
      <c r="W326" s="8">
        <v>274</v>
      </c>
      <c r="X326" s="8">
        <v>341</v>
      </c>
      <c r="Y326" s="8">
        <v>291</v>
      </c>
      <c r="Z326" s="8">
        <v>331</v>
      </c>
      <c r="AA326" s="8">
        <v>153</v>
      </c>
      <c r="AB326" s="8">
        <v>360</v>
      </c>
      <c r="AC326" s="8">
        <v>561</v>
      </c>
      <c r="AD326" s="8">
        <v>349</v>
      </c>
      <c r="AE326" s="8">
        <v>350</v>
      </c>
      <c r="AF326" s="8">
        <v>206</v>
      </c>
      <c r="AG326" s="8">
        <v>257</v>
      </c>
      <c r="AH326" s="8">
        <v>259</v>
      </c>
      <c r="AI326" s="8">
        <v>225</v>
      </c>
      <c r="AJ326" s="8">
        <v>308</v>
      </c>
      <c r="AK326" s="8">
        <v>229</v>
      </c>
      <c r="AL326" s="8">
        <v>334</v>
      </c>
      <c r="AM326" s="8">
        <v>339</v>
      </c>
      <c r="AN326" s="8">
        <v>428</v>
      </c>
      <c r="AO326" s="8">
        <v>468</v>
      </c>
      <c r="AP326" s="8">
        <v>398</v>
      </c>
      <c r="AQ326" s="8">
        <v>353</v>
      </c>
      <c r="AR326" s="8">
        <v>241</v>
      </c>
      <c r="AS326" s="8">
        <v>173</v>
      </c>
      <c r="AT326" s="8">
        <v>336</v>
      </c>
      <c r="AU326" s="8">
        <v>275</v>
      </c>
      <c r="AV326" s="8">
        <v>264</v>
      </c>
      <c r="AW326" s="8">
        <v>238</v>
      </c>
      <c r="AX326" s="8">
        <v>317</v>
      </c>
      <c r="AY326" s="8">
        <v>463</v>
      </c>
      <c r="AZ326" s="8">
        <v>357</v>
      </c>
      <c r="BA326" s="8">
        <v>267</v>
      </c>
      <c r="BB326" s="8">
        <v>297</v>
      </c>
      <c r="BC326" s="8">
        <v>448</v>
      </c>
      <c r="BD326" s="8">
        <v>369</v>
      </c>
      <c r="BE326" s="8">
        <v>318</v>
      </c>
      <c r="BF326" s="8">
        <v>420</v>
      </c>
      <c r="BG326" s="8">
        <v>379</v>
      </c>
      <c r="BH326" s="8">
        <v>201</v>
      </c>
      <c r="BI326" s="8">
        <v>229</v>
      </c>
      <c r="BJ326" s="8">
        <v>290</v>
      </c>
      <c r="BK326" s="8">
        <v>481</v>
      </c>
      <c r="BL326" s="8">
        <v>368</v>
      </c>
      <c r="BM326" s="8">
        <v>306</v>
      </c>
      <c r="BN326" s="8">
        <v>240</v>
      </c>
      <c r="BO326" s="8">
        <v>232</v>
      </c>
      <c r="BP326" s="8">
        <v>210</v>
      </c>
      <c r="BQ326" s="8">
        <v>348</v>
      </c>
      <c r="BR326" s="8">
        <v>249</v>
      </c>
      <c r="BS326" s="8">
        <v>409</v>
      </c>
      <c r="BT326" s="8">
        <v>311</v>
      </c>
      <c r="BU326" s="8">
        <v>224</v>
      </c>
      <c r="BV326" s="8">
        <v>262</v>
      </c>
      <c r="BW326" s="8">
        <v>329</v>
      </c>
      <c r="BX326" s="8">
        <v>381</v>
      </c>
      <c r="BY326" s="8">
        <v>558</v>
      </c>
      <c r="BZ326" s="8">
        <v>294</v>
      </c>
      <c r="CA326" s="8">
        <v>350</v>
      </c>
      <c r="CB326" s="8">
        <v>287</v>
      </c>
      <c r="CC326" s="8">
        <v>212</v>
      </c>
      <c r="CD326" s="8">
        <v>220</v>
      </c>
      <c r="CE326" s="8">
        <v>334</v>
      </c>
      <c r="CF326" s="8">
        <v>441</v>
      </c>
      <c r="CG326" s="8">
        <v>249</v>
      </c>
      <c r="CH326" s="8">
        <v>319</v>
      </c>
      <c r="CJ326" s="9"/>
      <c r="CK326" s="9"/>
      <c r="CL326" s="9"/>
      <c r="CM326" s="9"/>
      <c r="CN326" s="9"/>
      <c r="CO326" s="9"/>
      <c r="CP326" s="9"/>
      <c r="CQ326" s="9"/>
      <c r="CR326" s="9"/>
      <c r="CS326" s="9"/>
      <c r="CT326" s="9"/>
      <c r="CU326" s="9"/>
      <c r="CV326" s="9"/>
      <c r="CW326" s="9"/>
      <c r="CX326" s="9"/>
      <c r="CY326" s="9"/>
      <c r="CZ326" s="9"/>
      <c r="DA326" s="9"/>
      <c r="DB326" s="9"/>
      <c r="DC326" s="9"/>
      <c r="DD326" s="9"/>
      <c r="DE326" s="9"/>
      <c r="DF326" s="9"/>
      <c r="DG326" s="9"/>
      <c r="DH326" s="9"/>
      <c r="DI326" s="9"/>
      <c r="DJ326" s="9"/>
      <c r="DK326" s="9"/>
      <c r="DL326" s="9"/>
      <c r="DM326" s="9"/>
      <c r="DN326" s="9"/>
      <c r="DO326" s="9"/>
      <c r="DP326" s="9"/>
      <c r="DQ326" s="9"/>
      <c r="DR326" s="9"/>
      <c r="DS326" s="9"/>
      <c r="DT326" s="9"/>
      <c r="DU326" s="9"/>
      <c r="DV326" s="9"/>
      <c r="DW326" s="9"/>
      <c r="DX326" s="9"/>
      <c r="DY326" s="9"/>
      <c r="DZ326" s="9"/>
      <c r="EA326" s="9"/>
      <c r="EB326" s="9"/>
      <c r="EC326" s="9"/>
      <c r="ED326" s="9"/>
      <c r="EE326" s="9"/>
      <c r="EF326" s="9"/>
      <c r="EG326" s="9"/>
      <c r="EH326" s="9"/>
      <c r="EI326" s="9"/>
      <c r="EJ326" s="9"/>
      <c r="EK326" s="9"/>
      <c r="EL326" s="9"/>
      <c r="EM326" s="9"/>
      <c r="EN326" s="9"/>
      <c r="EO326" s="9"/>
      <c r="EP326" s="9"/>
      <c r="EQ326" s="9"/>
      <c r="ER326" s="9"/>
      <c r="ES326" s="9"/>
      <c r="ET326" s="9"/>
      <c r="EU326" s="9"/>
      <c r="EV326" s="9"/>
      <c r="EW326" s="9"/>
      <c r="EX326" s="9"/>
      <c r="EY326" s="9"/>
      <c r="EZ326" s="9"/>
      <c r="FA326" s="9"/>
      <c r="FB326" s="9"/>
      <c r="FC326" s="9"/>
      <c r="FD326" s="9"/>
      <c r="FE326" s="9"/>
      <c r="FF326" s="9"/>
      <c r="FG326" s="9"/>
      <c r="FH326" s="9"/>
      <c r="FI326" s="9"/>
    </row>
    <row r="327" spans="1:165" x14ac:dyDescent="0.2">
      <c r="A327" s="1" t="s">
        <v>1180</v>
      </c>
      <c r="B327" s="1" t="s">
        <v>1181</v>
      </c>
      <c r="C327" s="1" t="s">
        <v>303</v>
      </c>
      <c r="D327" s="1" t="str">
        <f>HYPERLINK("http://eros.fiehnlab.ucdavis.edu:8080/binbase-compound/bin/show/225885?db=rtx5","225885")</f>
        <v>225885</v>
      </c>
      <c r="E327" s="1" t="s">
        <v>1182</v>
      </c>
      <c r="F327" s="1" t="s">
        <v>184</v>
      </c>
      <c r="G327" s="1" t="s">
        <v>184</v>
      </c>
      <c r="H327" s="1"/>
      <c r="I327" s="8">
        <v>399</v>
      </c>
      <c r="J327" s="8">
        <v>345</v>
      </c>
      <c r="K327" s="8">
        <v>315</v>
      </c>
      <c r="L327" s="8">
        <v>235</v>
      </c>
      <c r="M327" s="8">
        <v>308</v>
      </c>
      <c r="N327" s="8">
        <v>190</v>
      </c>
      <c r="O327" s="8">
        <v>339</v>
      </c>
      <c r="P327" s="8">
        <v>371</v>
      </c>
      <c r="Q327" s="8">
        <v>403</v>
      </c>
      <c r="R327" s="8">
        <v>342</v>
      </c>
      <c r="S327" s="8">
        <v>407</v>
      </c>
      <c r="T327" s="8">
        <v>432</v>
      </c>
      <c r="U327" s="8">
        <v>244</v>
      </c>
      <c r="V327" s="8">
        <v>193</v>
      </c>
      <c r="W327" s="8">
        <v>183</v>
      </c>
      <c r="X327" s="8">
        <v>407</v>
      </c>
      <c r="Y327" s="8">
        <v>187</v>
      </c>
      <c r="Z327" s="8">
        <v>132</v>
      </c>
      <c r="AA327" s="8">
        <v>192</v>
      </c>
      <c r="AB327" s="8">
        <v>418</v>
      </c>
      <c r="AC327" s="8">
        <v>329</v>
      </c>
      <c r="AD327" s="8">
        <v>288</v>
      </c>
      <c r="AE327" s="8">
        <v>202</v>
      </c>
      <c r="AF327" s="8">
        <v>181</v>
      </c>
      <c r="AG327" s="8">
        <v>241</v>
      </c>
      <c r="AH327" s="8">
        <v>147</v>
      </c>
      <c r="AI327" s="8">
        <v>260</v>
      </c>
      <c r="AJ327" s="8">
        <v>286</v>
      </c>
      <c r="AK327" s="8">
        <v>176</v>
      </c>
      <c r="AL327" s="8">
        <v>271</v>
      </c>
      <c r="AM327" s="8">
        <v>407</v>
      </c>
      <c r="AN327" s="8">
        <v>231</v>
      </c>
      <c r="AO327" s="8">
        <v>286</v>
      </c>
      <c r="AP327" s="8">
        <v>243</v>
      </c>
      <c r="AQ327" s="8">
        <v>307</v>
      </c>
      <c r="AR327" s="8">
        <v>131</v>
      </c>
      <c r="AS327" s="8">
        <v>283</v>
      </c>
      <c r="AT327" s="8">
        <v>202</v>
      </c>
      <c r="AU327" s="8">
        <v>351</v>
      </c>
      <c r="AV327" s="8">
        <v>225</v>
      </c>
      <c r="AW327" s="8">
        <v>282</v>
      </c>
      <c r="AX327" s="8">
        <v>270</v>
      </c>
      <c r="AY327" s="8">
        <v>282</v>
      </c>
      <c r="AZ327" s="8">
        <v>207</v>
      </c>
      <c r="BA327" s="8">
        <v>394</v>
      </c>
      <c r="BB327" s="8">
        <v>319</v>
      </c>
      <c r="BC327" s="8">
        <v>258</v>
      </c>
      <c r="BD327" s="8">
        <v>229</v>
      </c>
      <c r="BE327" s="8">
        <v>364</v>
      </c>
      <c r="BF327" s="8">
        <v>179</v>
      </c>
      <c r="BG327" s="8">
        <v>432</v>
      </c>
      <c r="BH327" s="8">
        <v>287</v>
      </c>
      <c r="BI327" s="8">
        <v>309</v>
      </c>
      <c r="BJ327" s="8">
        <v>223</v>
      </c>
      <c r="BK327" s="8">
        <v>216</v>
      </c>
      <c r="BL327" s="8">
        <v>404</v>
      </c>
      <c r="BM327" s="8">
        <v>442</v>
      </c>
      <c r="BN327" s="8">
        <v>169</v>
      </c>
      <c r="BO327" s="8">
        <v>257</v>
      </c>
      <c r="BP327" s="8">
        <v>352</v>
      </c>
      <c r="BQ327" s="8">
        <v>213</v>
      </c>
      <c r="BR327" s="8">
        <v>299</v>
      </c>
      <c r="BS327" s="8">
        <v>287</v>
      </c>
      <c r="BT327" s="8">
        <v>286</v>
      </c>
      <c r="BU327" s="8">
        <v>295</v>
      </c>
      <c r="BV327" s="8">
        <v>133</v>
      </c>
      <c r="BW327" s="8">
        <v>355</v>
      </c>
      <c r="BX327" s="8">
        <v>331</v>
      </c>
      <c r="BY327" s="8">
        <v>250</v>
      </c>
      <c r="BZ327" s="8">
        <v>179</v>
      </c>
      <c r="CA327" s="8">
        <v>318</v>
      </c>
      <c r="CB327" s="8">
        <v>127</v>
      </c>
      <c r="CC327" s="8">
        <v>176</v>
      </c>
      <c r="CD327" s="8">
        <v>164</v>
      </c>
      <c r="CE327" s="8">
        <v>174</v>
      </c>
      <c r="CF327" s="8">
        <v>232</v>
      </c>
      <c r="CG327" s="8">
        <v>156</v>
      </c>
      <c r="CH327" s="8">
        <v>322</v>
      </c>
      <c r="CJ327" s="9"/>
      <c r="CK327" s="9"/>
      <c r="CL327" s="9"/>
      <c r="CM327" s="9"/>
      <c r="CN327" s="9"/>
      <c r="CO327" s="9"/>
      <c r="CP327" s="9"/>
      <c r="CQ327" s="9"/>
      <c r="CR327" s="9"/>
      <c r="CS327" s="9"/>
      <c r="CT327" s="9"/>
      <c r="CU327" s="9"/>
      <c r="CV327" s="9"/>
      <c r="CW327" s="9"/>
      <c r="CX327" s="9"/>
      <c r="CY327" s="9"/>
      <c r="CZ327" s="9"/>
      <c r="DA327" s="9"/>
      <c r="DB327" s="9"/>
      <c r="DC327" s="9"/>
      <c r="DD327" s="9"/>
      <c r="DE327" s="9"/>
      <c r="DF327" s="9"/>
      <c r="DG327" s="9"/>
      <c r="DH327" s="9"/>
      <c r="DI327" s="9"/>
      <c r="DJ327" s="9"/>
      <c r="DK327" s="9"/>
      <c r="DL327" s="9"/>
      <c r="DM327" s="9"/>
      <c r="DN327" s="9"/>
      <c r="DO327" s="9"/>
      <c r="DP327" s="9"/>
      <c r="DQ327" s="9"/>
      <c r="DR327" s="9"/>
      <c r="DS327" s="9"/>
      <c r="DT327" s="9"/>
      <c r="DU327" s="9"/>
      <c r="DV327" s="9"/>
      <c r="DW327" s="9"/>
      <c r="DX327" s="9"/>
      <c r="DY327" s="9"/>
      <c r="DZ327" s="9"/>
      <c r="EA327" s="9"/>
      <c r="EB327" s="9"/>
      <c r="EC327" s="9"/>
      <c r="ED327" s="9"/>
      <c r="EE327" s="9"/>
      <c r="EF327" s="9"/>
      <c r="EG327" s="9"/>
      <c r="EH327" s="9"/>
      <c r="EI327" s="9"/>
      <c r="EJ327" s="9"/>
      <c r="EK327" s="9"/>
      <c r="EL327" s="9"/>
      <c r="EM327" s="9"/>
      <c r="EN327" s="9"/>
      <c r="EO327" s="9"/>
      <c r="EP327" s="9"/>
      <c r="EQ327" s="9"/>
      <c r="ER327" s="9"/>
      <c r="ES327" s="9"/>
      <c r="ET327" s="9"/>
      <c r="EU327" s="9"/>
      <c r="EV327" s="9"/>
      <c r="EW327" s="9"/>
      <c r="EX327" s="9"/>
      <c r="EY327" s="9"/>
      <c r="EZ327" s="9"/>
      <c r="FA327" s="9"/>
      <c r="FB327" s="9"/>
      <c r="FC327" s="9"/>
      <c r="FD327" s="9"/>
      <c r="FE327" s="9"/>
      <c r="FF327" s="9"/>
      <c r="FG327" s="9"/>
      <c r="FH327" s="9"/>
      <c r="FI327" s="9"/>
    </row>
    <row r="328" spans="1:165" x14ac:dyDescent="0.2">
      <c r="A328" s="1" t="s">
        <v>974</v>
      </c>
      <c r="B328" s="1" t="s">
        <v>975</v>
      </c>
      <c r="C328" s="1" t="s">
        <v>435</v>
      </c>
      <c r="D328" s="1" t="str">
        <f>HYPERLINK("http://eros.fiehnlab.ucdavis.edu:8080/binbase-compound/bin/show/277432?db=rtx5","277432")</f>
        <v>277432</v>
      </c>
      <c r="E328" s="1" t="s">
        <v>976</v>
      </c>
      <c r="F328" s="1" t="s">
        <v>184</v>
      </c>
      <c r="G328" s="1" t="s">
        <v>184</v>
      </c>
      <c r="H328" s="1"/>
      <c r="I328" s="8">
        <v>188</v>
      </c>
      <c r="J328" s="8">
        <v>107</v>
      </c>
      <c r="K328" s="8">
        <v>115</v>
      </c>
      <c r="L328" s="8">
        <v>98</v>
      </c>
      <c r="M328" s="8">
        <v>138</v>
      </c>
      <c r="N328" s="8">
        <v>149</v>
      </c>
      <c r="O328" s="8">
        <v>233</v>
      </c>
      <c r="P328" s="8">
        <v>225</v>
      </c>
      <c r="Q328" s="8">
        <v>282</v>
      </c>
      <c r="R328" s="8">
        <v>145</v>
      </c>
      <c r="S328" s="8">
        <v>297</v>
      </c>
      <c r="T328" s="8">
        <v>196</v>
      </c>
      <c r="U328" s="8">
        <v>286</v>
      </c>
      <c r="V328" s="8">
        <v>227</v>
      </c>
      <c r="W328" s="8">
        <v>417</v>
      </c>
      <c r="X328" s="8">
        <v>242</v>
      </c>
      <c r="Y328" s="8">
        <v>174</v>
      </c>
      <c r="Z328" s="8">
        <v>152</v>
      </c>
      <c r="AA328" s="8">
        <v>175</v>
      </c>
      <c r="AB328" s="8">
        <v>188</v>
      </c>
      <c r="AC328" s="8">
        <v>141</v>
      </c>
      <c r="AD328" s="8">
        <v>168</v>
      </c>
      <c r="AE328" s="8">
        <v>352</v>
      </c>
      <c r="AF328" s="8">
        <v>159</v>
      </c>
      <c r="AG328" s="8">
        <v>189</v>
      </c>
      <c r="AH328" s="8">
        <v>301</v>
      </c>
      <c r="AI328" s="8">
        <v>143</v>
      </c>
      <c r="AJ328" s="8">
        <v>718</v>
      </c>
      <c r="AK328" s="8">
        <v>185</v>
      </c>
      <c r="AL328" s="8">
        <v>185</v>
      </c>
      <c r="AM328" s="8">
        <v>330</v>
      </c>
      <c r="AN328" s="8">
        <v>318</v>
      </c>
      <c r="AO328" s="8">
        <v>241</v>
      </c>
      <c r="AP328" s="8">
        <v>444</v>
      </c>
      <c r="AQ328" s="8">
        <v>227</v>
      </c>
      <c r="AR328" s="8">
        <v>219</v>
      </c>
      <c r="AS328" s="8">
        <v>227</v>
      </c>
      <c r="AT328" s="8">
        <v>259</v>
      </c>
      <c r="AU328" s="8">
        <v>235</v>
      </c>
      <c r="AV328" s="8">
        <v>236</v>
      </c>
      <c r="AW328" s="8">
        <v>537</v>
      </c>
      <c r="AX328" s="8">
        <v>204</v>
      </c>
      <c r="AY328" s="8">
        <v>174</v>
      </c>
      <c r="AZ328" s="8">
        <v>265</v>
      </c>
      <c r="BA328" s="8">
        <v>283</v>
      </c>
      <c r="BB328" s="8">
        <v>238</v>
      </c>
      <c r="BC328" s="8">
        <v>254</v>
      </c>
      <c r="BD328" s="8">
        <v>306</v>
      </c>
      <c r="BE328" s="8">
        <v>324</v>
      </c>
      <c r="BF328" s="8">
        <v>259</v>
      </c>
      <c r="BG328" s="8">
        <v>254</v>
      </c>
      <c r="BH328" s="8">
        <v>235</v>
      </c>
      <c r="BI328" s="8">
        <v>350</v>
      </c>
      <c r="BJ328" s="8">
        <v>190</v>
      </c>
      <c r="BK328" s="8">
        <v>364</v>
      </c>
      <c r="BL328" s="8">
        <v>263</v>
      </c>
      <c r="BM328" s="8">
        <v>259</v>
      </c>
      <c r="BN328" s="8">
        <v>694</v>
      </c>
      <c r="BO328" s="8">
        <v>623</v>
      </c>
      <c r="BP328" s="8">
        <v>338</v>
      </c>
      <c r="BQ328" s="8">
        <v>499</v>
      </c>
      <c r="BR328" s="8">
        <v>379</v>
      </c>
      <c r="BS328" s="8">
        <v>267</v>
      </c>
      <c r="BT328" s="8">
        <v>253</v>
      </c>
      <c r="BU328" s="8">
        <v>245</v>
      </c>
      <c r="BV328" s="8">
        <v>204</v>
      </c>
      <c r="BW328" s="8">
        <v>357</v>
      </c>
      <c r="BX328" s="8">
        <v>178</v>
      </c>
      <c r="BY328" s="8">
        <v>211</v>
      </c>
      <c r="BZ328" s="8">
        <v>532</v>
      </c>
      <c r="CA328" s="8">
        <v>248</v>
      </c>
      <c r="CB328" s="8">
        <v>203</v>
      </c>
      <c r="CC328" s="8">
        <v>335</v>
      </c>
      <c r="CD328" s="8">
        <v>257</v>
      </c>
      <c r="CE328" s="8">
        <v>292</v>
      </c>
      <c r="CF328" s="8">
        <v>175</v>
      </c>
      <c r="CG328" s="8">
        <v>477</v>
      </c>
      <c r="CH328" s="8">
        <v>228</v>
      </c>
      <c r="CJ328" s="9"/>
      <c r="CK328" s="9"/>
      <c r="CL328" s="9"/>
      <c r="CM328" s="9"/>
      <c r="CN328" s="9"/>
      <c r="CO328" s="9"/>
      <c r="CP328" s="9"/>
      <c r="CQ328" s="9"/>
      <c r="CR328" s="9"/>
      <c r="CS328" s="9"/>
      <c r="CT328" s="9"/>
      <c r="CU328" s="9"/>
      <c r="CV328" s="9"/>
      <c r="CW328" s="9"/>
      <c r="CX328" s="9"/>
      <c r="CY328" s="9"/>
      <c r="CZ328" s="9"/>
      <c r="DA328" s="9"/>
      <c r="DB328" s="9"/>
      <c r="DC328" s="9"/>
      <c r="DD328" s="9"/>
      <c r="DE328" s="9"/>
      <c r="DF328" s="9"/>
      <c r="DG328" s="9"/>
      <c r="DH328" s="9"/>
      <c r="DI328" s="9"/>
      <c r="DJ328" s="9"/>
      <c r="DK328" s="9"/>
      <c r="DL328" s="9"/>
      <c r="DM328" s="9"/>
      <c r="DN328" s="9"/>
      <c r="DO328" s="9"/>
      <c r="DP328" s="9"/>
      <c r="DQ328" s="9"/>
      <c r="DR328" s="9"/>
      <c r="DS328" s="9"/>
      <c r="DT328" s="9"/>
      <c r="DU328" s="9"/>
      <c r="DV328" s="9"/>
      <c r="DW328" s="9"/>
      <c r="DX328" s="9"/>
      <c r="DY328" s="9"/>
      <c r="DZ328" s="9"/>
      <c r="EA328" s="9"/>
      <c r="EB328" s="9"/>
      <c r="EC328" s="9"/>
      <c r="ED328" s="9"/>
      <c r="EE328" s="9"/>
      <c r="EF328" s="9"/>
      <c r="EG328" s="9"/>
      <c r="EH328" s="9"/>
      <c r="EI328" s="9"/>
      <c r="EJ328" s="9"/>
      <c r="EK328" s="9"/>
      <c r="EL328" s="9"/>
      <c r="EM328" s="9"/>
      <c r="EN328" s="9"/>
      <c r="EO328" s="9"/>
      <c r="EP328" s="9"/>
      <c r="EQ328" s="9"/>
      <c r="ER328" s="9"/>
      <c r="ES328" s="9"/>
      <c r="ET328" s="9"/>
      <c r="EU328" s="9"/>
      <c r="EV328" s="9"/>
      <c r="EW328" s="9"/>
      <c r="EX328" s="9"/>
      <c r="EY328" s="9"/>
      <c r="EZ328" s="9"/>
      <c r="FA328" s="9"/>
      <c r="FB328" s="9"/>
      <c r="FC328" s="9"/>
      <c r="FD328" s="9"/>
      <c r="FE328" s="9"/>
      <c r="FF328" s="9"/>
      <c r="FG328" s="9"/>
      <c r="FH328" s="9"/>
      <c r="FI328" s="9"/>
    </row>
    <row r="329" spans="1:165" x14ac:dyDescent="0.2">
      <c r="A329" s="1" t="s">
        <v>824</v>
      </c>
      <c r="B329" s="1" t="s">
        <v>825</v>
      </c>
      <c r="C329" s="1" t="s">
        <v>517</v>
      </c>
      <c r="D329" s="1" t="str">
        <f>HYPERLINK("http://eros.fiehnlab.ucdavis.edu:8080/binbase-compound/bin/show/352906?db=rtx5","352906")</f>
        <v>352906</v>
      </c>
      <c r="E329" s="1" t="s">
        <v>826</v>
      </c>
      <c r="F329" s="1" t="s">
        <v>184</v>
      </c>
      <c r="G329" s="1" t="s">
        <v>184</v>
      </c>
      <c r="H329" s="1"/>
      <c r="I329" s="8">
        <v>1832</v>
      </c>
      <c r="J329" s="8">
        <v>2217</v>
      </c>
      <c r="K329" s="8">
        <v>1639</v>
      </c>
      <c r="L329" s="8">
        <v>1333</v>
      </c>
      <c r="M329" s="8">
        <v>1472</v>
      </c>
      <c r="N329" s="8">
        <v>1876</v>
      </c>
      <c r="O329" s="8">
        <v>2206</v>
      </c>
      <c r="P329" s="8">
        <v>2479</v>
      </c>
      <c r="Q329" s="8">
        <v>1763</v>
      </c>
      <c r="R329" s="8">
        <v>1380</v>
      </c>
      <c r="S329" s="8">
        <v>1765</v>
      </c>
      <c r="T329" s="8">
        <v>1145</v>
      </c>
      <c r="U329" s="8">
        <v>948</v>
      </c>
      <c r="V329" s="8">
        <v>1835</v>
      </c>
      <c r="W329" s="8">
        <v>1636</v>
      </c>
      <c r="X329" s="8">
        <v>1745</v>
      </c>
      <c r="Y329" s="8">
        <v>1550</v>
      </c>
      <c r="Z329" s="8">
        <v>1307</v>
      </c>
      <c r="AA329" s="8">
        <v>905</v>
      </c>
      <c r="AB329" s="8">
        <v>1372</v>
      </c>
      <c r="AC329" s="8">
        <v>1147</v>
      </c>
      <c r="AD329" s="8">
        <v>1138</v>
      </c>
      <c r="AE329" s="8">
        <v>947</v>
      </c>
      <c r="AF329" s="8">
        <v>1052</v>
      </c>
      <c r="AG329" s="8">
        <v>1542</v>
      </c>
      <c r="AH329" s="8">
        <v>1798</v>
      </c>
      <c r="AI329" s="8">
        <v>1568</v>
      </c>
      <c r="AJ329" s="8">
        <v>2988</v>
      </c>
      <c r="AK329" s="8">
        <v>1517</v>
      </c>
      <c r="AL329" s="8">
        <v>1494</v>
      </c>
      <c r="AM329" s="8">
        <v>3240</v>
      </c>
      <c r="AN329" s="8">
        <v>2358</v>
      </c>
      <c r="AO329" s="8">
        <v>2820</v>
      </c>
      <c r="AP329" s="8">
        <v>2615</v>
      </c>
      <c r="AQ329" s="8">
        <v>2161</v>
      </c>
      <c r="AR329" s="8">
        <v>2219</v>
      </c>
      <c r="AS329" s="8">
        <v>2182</v>
      </c>
      <c r="AT329" s="8">
        <v>1970</v>
      </c>
      <c r="AU329" s="8">
        <v>2220</v>
      </c>
      <c r="AV329" s="8">
        <v>2672</v>
      </c>
      <c r="AW329" s="8">
        <v>1804</v>
      </c>
      <c r="AX329" s="8">
        <v>1839</v>
      </c>
      <c r="AY329" s="8">
        <v>860</v>
      </c>
      <c r="AZ329" s="8">
        <v>1696</v>
      </c>
      <c r="BA329" s="8">
        <v>641</v>
      </c>
      <c r="BB329" s="8">
        <v>1025</v>
      </c>
      <c r="BC329" s="8">
        <v>992</v>
      </c>
      <c r="BD329" s="8">
        <v>1131</v>
      </c>
      <c r="BE329" s="8">
        <v>1892</v>
      </c>
      <c r="BF329" s="8">
        <v>1465</v>
      </c>
      <c r="BG329" s="8">
        <v>1859</v>
      </c>
      <c r="BH329" s="8">
        <v>1953</v>
      </c>
      <c r="BI329" s="8">
        <v>1688</v>
      </c>
      <c r="BJ329" s="8">
        <v>1307</v>
      </c>
      <c r="BK329" s="8">
        <v>1711</v>
      </c>
      <c r="BL329" s="8">
        <v>2905</v>
      </c>
      <c r="BM329" s="8">
        <v>2438</v>
      </c>
      <c r="BN329" s="8">
        <v>1740</v>
      </c>
      <c r="BO329" s="8">
        <v>2229</v>
      </c>
      <c r="BP329" s="8">
        <v>1520</v>
      </c>
      <c r="BQ329" s="8">
        <v>1444</v>
      </c>
      <c r="BR329" s="8">
        <v>2564</v>
      </c>
      <c r="BS329" s="8">
        <v>1865</v>
      </c>
      <c r="BT329" s="8">
        <v>1869</v>
      </c>
      <c r="BU329" s="8">
        <v>1826</v>
      </c>
      <c r="BV329" s="8">
        <v>1663</v>
      </c>
      <c r="BW329" s="8">
        <v>615</v>
      </c>
      <c r="BX329" s="8">
        <v>1034</v>
      </c>
      <c r="BY329" s="8">
        <v>1074</v>
      </c>
      <c r="BZ329" s="8">
        <v>941</v>
      </c>
      <c r="CA329" s="8">
        <v>1054</v>
      </c>
      <c r="CB329" s="8">
        <v>979</v>
      </c>
      <c r="CC329" s="8">
        <v>1480</v>
      </c>
      <c r="CD329" s="8">
        <v>1928</v>
      </c>
      <c r="CE329" s="8">
        <v>1829</v>
      </c>
      <c r="CF329" s="8">
        <v>1778</v>
      </c>
      <c r="CG329" s="8">
        <v>1801</v>
      </c>
      <c r="CH329" s="8">
        <v>1574</v>
      </c>
      <c r="CJ329" s="9"/>
      <c r="CK329" s="9"/>
      <c r="CL329" s="9"/>
      <c r="CM329" s="9"/>
      <c r="CN329" s="9"/>
      <c r="CO329" s="9"/>
      <c r="CP329" s="9"/>
      <c r="CQ329" s="9"/>
      <c r="CR329" s="9"/>
      <c r="CS329" s="9"/>
      <c r="CT329" s="9"/>
      <c r="CU329" s="9"/>
      <c r="CV329" s="9"/>
      <c r="CW329" s="9"/>
      <c r="CX329" s="9"/>
      <c r="CY329" s="9"/>
      <c r="CZ329" s="9"/>
      <c r="DA329" s="9"/>
      <c r="DB329" s="9"/>
      <c r="DC329" s="9"/>
      <c r="DD329" s="9"/>
      <c r="DE329" s="9"/>
      <c r="DF329" s="9"/>
      <c r="DG329" s="9"/>
      <c r="DH329" s="9"/>
      <c r="DI329" s="9"/>
      <c r="DJ329" s="9"/>
      <c r="DK329" s="9"/>
      <c r="DL329" s="9"/>
      <c r="DM329" s="9"/>
      <c r="DN329" s="9"/>
      <c r="DO329" s="9"/>
      <c r="DP329" s="9"/>
      <c r="DQ329" s="9"/>
      <c r="DR329" s="9"/>
      <c r="DS329" s="9"/>
      <c r="DT329" s="9"/>
      <c r="DU329" s="9"/>
      <c r="DV329" s="9"/>
      <c r="DW329" s="9"/>
      <c r="DX329" s="9"/>
      <c r="DY329" s="9"/>
      <c r="DZ329" s="9"/>
      <c r="EA329" s="9"/>
      <c r="EB329" s="9"/>
      <c r="EC329" s="9"/>
      <c r="ED329" s="9"/>
      <c r="EE329" s="9"/>
      <c r="EF329" s="9"/>
      <c r="EG329" s="9"/>
      <c r="EH329" s="9"/>
      <c r="EI329" s="9"/>
      <c r="EJ329" s="9"/>
      <c r="EK329" s="9"/>
      <c r="EL329" s="9"/>
      <c r="EM329" s="9"/>
      <c r="EN329" s="9"/>
      <c r="EO329" s="9"/>
      <c r="EP329" s="9"/>
      <c r="EQ329" s="9"/>
      <c r="ER329" s="9"/>
      <c r="ES329" s="9"/>
      <c r="ET329" s="9"/>
      <c r="EU329" s="9"/>
      <c r="EV329" s="9"/>
      <c r="EW329" s="9"/>
      <c r="EX329" s="9"/>
      <c r="EY329" s="9"/>
      <c r="EZ329" s="9"/>
      <c r="FA329" s="9"/>
      <c r="FB329" s="9"/>
      <c r="FC329" s="9"/>
      <c r="FD329" s="9"/>
      <c r="FE329" s="9"/>
      <c r="FF329" s="9"/>
      <c r="FG329" s="9"/>
      <c r="FH329" s="9"/>
      <c r="FI329" s="9"/>
    </row>
    <row r="330" spans="1:165" x14ac:dyDescent="0.2">
      <c r="A330" s="1" t="s">
        <v>745</v>
      </c>
      <c r="B330" s="1" t="s">
        <v>746</v>
      </c>
      <c r="C330" s="1" t="s">
        <v>517</v>
      </c>
      <c r="D330" s="1" t="str">
        <f>HYPERLINK("http://eros.fiehnlab.ucdavis.edu:8080/binbase-compound/bin/show/368016?db=rtx5","368016")</f>
        <v>368016</v>
      </c>
      <c r="E330" s="1" t="s">
        <v>747</v>
      </c>
      <c r="F330" s="1" t="s">
        <v>184</v>
      </c>
      <c r="G330" s="1" t="s">
        <v>184</v>
      </c>
      <c r="H330" s="1"/>
      <c r="I330" s="8">
        <v>4595</v>
      </c>
      <c r="J330" s="8">
        <v>3634</v>
      </c>
      <c r="K330" s="8">
        <v>2472</v>
      </c>
      <c r="L330" s="8">
        <v>2841</v>
      </c>
      <c r="M330" s="8">
        <v>2781</v>
      </c>
      <c r="N330" s="8">
        <v>3482</v>
      </c>
      <c r="O330" s="8">
        <v>3029</v>
      </c>
      <c r="P330" s="8">
        <v>2930</v>
      </c>
      <c r="Q330" s="8">
        <v>3241</v>
      </c>
      <c r="R330" s="8">
        <v>2757</v>
      </c>
      <c r="S330" s="8">
        <v>3299</v>
      </c>
      <c r="T330" s="8">
        <v>1963</v>
      </c>
      <c r="U330" s="8">
        <v>2509</v>
      </c>
      <c r="V330" s="8">
        <v>3188</v>
      </c>
      <c r="W330" s="8">
        <v>3526</v>
      </c>
      <c r="X330" s="8">
        <v>2948</v>
      </c>
      <c r="Y330" s="8">
        <v>3484</v>
      </c>
      <c r="Z330" s="8">
        <v>3194</v>
      </c>
      <c r="AA330" s="8">
        <v>2466</v>
      </c>
      <c r="AB330" s="8">
        <v>4626</v>
      </c>
      <c r="AC330" s="8">
        <v>4733</v>
      </c>
      <c r="AD330" s="8">
        <v>3782</v>
      </c>
      <c r="AE330" s="8">
        <v>5640</v>
      </c>
      <c r="AF330" s="8">
        <v>3289</v>
      </c>
      <c r="AG330" s="8">
        <v>3517</v>
      </c>
      <c r="AH330" s="8">
        <v>2345</v>
      </c>
      <c r="AI330" s="8">
        <v>1826</v>
      </c>
      <c r="AJ330" s="8">
        <v>3471</v>
      </c>
      <c r="AK330" s="8">
        <v>2354</v>
      </c>
      <c r="AL330" s="8">
        <v>2697</v>
      </c>
      <c r="AM330" s="8">
        <v>4283</v>
      </c>
      <c r="AN330" s="8">
        <v>3866</v>
      </c>
      <c r="AO330" s="8">
        <v>2861</v>
      </c>
      <c r="AP330" s="8">
        <v>2916</v>
      </c>
      <c r="AQ330" s="8">
        <v>3543</v>
      </c>
      <c r="AR330" s="8">
        <v>2491</v>
      </c>
      <c r="AS330" s="8">
        <v>3353</v>
      </c>
      <c r="AT330" s="8">
        <v>3551</v>
      </c>
      <c r="AU330" s="8">
        <v>2656</v>
      </c>
      <c r="AV330" s="8">
        <v>3503</v>
      </c>
      <c r="AW330" s="8">
        <v>3984</v>
      </c>
      <c r="AX330" s="8">
        <v>3459</v>
      </c>
      <c r="AY330" s="8">
        <v>5035</v>
      </c>
      <c r="AZ330" s="8">
        <v>4144</v>
      </c>
      <c r="BA330" s="8">
        <v>4144</v>
      </c>
      <c r="BB330" s="8">
        <v>5220</v>
      </c>
      <c r="BC330" s="8">
        <v>7041</v>
      </c>
      <c r="BD330" s="8">
        <v>5212</v>
      </c>
      <c r="BE330" s="8">
        <v>5426</v>
      </c>
      <c r="BF330" s="8">
        <v>4002</v>
      </c>
      <c r="BG330" s="8">
        <v>3665</v>
      </c>
      <c r="BH330" s="8">
        <v>2805</v>
      </c>
      <c r="BI330" s="8">
        <v>3023</v>
      </c>
      <c r="BJ330" s="8">
        <v>3455</v>
      </c>
      <c r="BK330" s="8">
        <v>4475</v>
      </c>
      <c r="BL330" s="8">
        <v>4063</v>
      </c>
      <c r="BM330" s="8">
        <v>2999</v>
      </c>
      <c r="BN330" s="8">
        <v>2995</v>
      </c>
      <c r="BO330" s="8">
        <v>3667</v>
      </c>
      <c r="BP330" s="8">
        <v>3205</v>
      </c>
      <c r="BQ330" s="8">
        <v>3508</v>
      </c>
      <c r="BR330" s="8">
        <v>3129</v>
      </c>
      <c r="BS330" s="8">
        <v>4333</v>
      </c>
      <c r="BT330" s="8">
        <v>3805</v>
      </c>
      <c r="BU330" s="8">
        <v>2806</v>
      </c>
      <c r="BV330" s="8">
        <v>3368</v>
      </c>
      <c r="BW330" s="8">
        <v>4875</v>
      </c>
      <c r="BX330" s="8">
        <v>4211</v>
      </c>
      <c r="BY330" s="8">
        <v>4578</v>
      </c>
      <c r="BZ330" s="8">
        <v>4831</v>
      </c>
      <c r="CA330" s="8">
        <v>5309</v>
      </c>
      <c r="CB330" s="8">
        <v>4239</v>
      </c>
      <c r="CC330" s="8">
        <v>3295</v>
      </c>
      <c r="CD330" s="8">
        <v>2856</v>
      </c>
      <c r="CE330" s="8">
        <v>3951</v>
      </c>
      <c r="CF330" s="8">
        <v>2861</v>
      </c>
      <c r="CG330" s="8">
        <v>2916</v>
      </c>
      <c r="CH330" s="8">
        <v>3556</v>
      </c>
      <c r="CJ330" s="9"/>
      <c r="CK330" s="9"/>
      <c r="CL330" s="9"/>
      <c r="CM330" s="9"/>
      <c r="CN330" s="9"/>
      <c r="CO330" s="9"/>
      <c r="CP330" s="9"/>
      <c r="CQ330" s="9"/>
      <c r="CR330" s="9"/>
      <c r="CS330" s="9"/>
      <c r="CT330" s="9"/>
      <c r="CU330" s="9"/>
      <c r="CV330" s="9"/>
      <c r="CW330" s="9"/>
      <c r="CX330" s="9"/>
      <c r="CY330" s="9"/>
      <c r="CZ330" s="9"/>
      <c r="DA330" s="9"/>
      <c r="DB330" s="9"/>
      <c r="DC330" s="9"/>
      <c r="DD330" s="9"/>
      <c r="DE330" s="9"/>
      <c r="DF330" s="9"/>
      <c r="DG330" s="9"/>
      <c r="DH330" s="9"/>
      <c r="DI330" s="9"/>
      <c r="DJ330" s="9"/>
      <c r="DK330" s="9"/>
      <c r="DL330" s="9"/>
      <c r="DM330" s="9"/>
      <c r="DN330" s="9"/>
      <c r="DO330" s="9"/>
      <c r="DP330" s="9"/>
      <c r="DQ330" s="9"/>
      <c r="DR330" s="9"/>
      <c r="DS330" s="9"/>
      <c r="DT330" s="9"/>
      <c r="DU330" s="9"/>
      <c r="DV330" s="9"/>
      <c r="DW330" s="9"/>
      <c r="DX330" s="9"/>
      <c r="DY330" s="9"/>
      <c r="DZ330" s="9"/>
      <c r="EA330" s="9"/>
      <c r="EB330" s="9"/>
      <c r="EC330" s="9"/>
      <c r="ED330" s="9"/>
      <c r="EE330" s="9"/>
      <c r="EF330" s="9"/>
      <c r="EG330" s="9"/>
      <c r="EH330" s="9"/>
      <c r="EI330" s="9"/>
      <c r="EJ330" s="9"/>
      <c r="EK330" s="9"/>
      <c r="EL330" s="9"/>
      <c r="EM330" s="9"/>
      <c r="EN330" s="9"/>
      <c r="EO330" s="9"/>
      <c r="EP330" s="9"/>
      <c r="EQ330" s="9"/>
      <c r="ER330" s="9"/>
      <c r="ES330" s="9"/>
      <c r="ET330" s="9"/>
      <c r="EU330" s="9"/>
      <c r="EV330" s="9"/>
      <c r="EW330" s="9"/>
      <c r="EX330" s="9"/>
      <c r="EY330" s="9"/>
      <c r="EZ330" s="9"/>
      <c r="FA330" s="9"/>
      <c r="FB330" s="9"/>
      <c r="FC330" s="9"/>
      <c r="FD330" s="9"/>
      <c r="FE330" s="9"/>
      <c r="FF330" s="9"/>
      <c r="FG330" s="9"/>
      <c r="FH330" s="9"/>
      <c r="FI330" s="9"/>
    </row>
    <row r="331" spans="1:165" x14ac:dyDescent="0.2">
      <c r="A331" s="1" t="s">
        <v>852</v>
      </c>
      <c r="B331" s="1" t="s">
        <v>853</v>
      </c>
      <c r="C331" s="1" t="s">
        <v>371</v>
      </c>
      <c r="D331" s="1" t="str">
        <f>HYPERLINK("http://eros.fiehnlab.ucdavis.edu:8080/binbase-compound/bin/show/318794?db=rtx5","318794")</f>
        <v>318794</v>
      </c>
      <c r="E331" s="1" t="s">
        <v>854</v>
      </c>
      <c r="F331" s="1" t="s">
        <v>184</v>
      </c>
      <c r="G331" s="1" t="s">
        <v>184</v>
      </c>
      <c r="H331" s="1"/>
      <c r="I331" s="8">
        <v>498</v>
      </c>
      <c r="J331" s="8">
        <v>605</v>
      </c>
      <c r="K331" s="8">
        <v>1116</v>
      </c>
      <c r="L331" s="8">
        <v>830</v>
      </c>
      <c r="M331" s="8">
        <v>1040</v>
      </c>
      <c r="N331" s="8">
        <v>741</v>
      </c>
      <c r="O331" s="8">
        <v>509</v>
      </c>
      <c r="P331" s="8">
        <v>686</v>
      </c>
      <c r="Q331" s="8">
        <v>1005</v>
      </c>
      <c r="R331" s="8">
        <v>794</v>
      </c>
      <c r="S331" s="8">
        <v>718</v>
      </c>
      <c r="T331" s="8">
        <v>906</v>
      </c>
      <c r="U331" s="8">
        <v>806</v>
      </c>
      <c r="V331" s="8">
        <v>956</v>
      </c>
      <c r="W331" s="8">
        <v>1877</v>
      </c>
      <c r="X331" s="8">
        <v>898</v>
      </c>
      <c r="Y331" s="8">
        <v>889</v>
      </c>
      <c r="Z331" s="8">
        <v>942</v>
      </c>
      <c r="AA331" s="8">
        <v>571</v>
      </c>
      <c r="AB331" s="8">
        <v>519</v>
      </c>
      <c r="AC331" s="8">
        <v>544</v>
      </c>
      <c r="AD331" s="8">
        <v>322</v>
      </c>
      <c r="AE331" s="8">
        <v>1056</v>
      </c>
      <c r="AF331" s="8">
        <v>491</v>
      </c>
      <c r="AG331" s="8">
        <v>1205</v>
      </c>
      <c r="AH331" s="8">
        <v>884</v>
      </c>
      <c r="AI331" s="8">
        <v>759</v>
      </c>
      <c r="AJ331" s="8">
        <v>1939</v>
      </c>
      <c r="AK331" s="8">
        <v>1126</v>
      </c>
      <c r="AL331" s="8">
        <v>650</v>
      </c>
      <c r="AM331" s="8">
        <v>483</v>
      </c>
      <c r="AN331" s="8">
        <v>557</v>
      </c>
      <c r="AO331" s="8">
        <v>614</v>
      </c>
      <c r="AP331" s="8">
        <v>593</v>
      </c>
      <c r="AQ331" s="8">
        <v>352</v>
      </c>
      <c r="AR331" s="8">
        <v>375</v>
      </c>
      <c r="AS331" s="8">
        <v>1025</v>
      </c>
      <c r="AT331" s="8">
        <v>833</v>
      </c>
      <c r="AU331" s="8">
        <v>631</v>
      </c>
      <c r="AV331" s="8">
        <v>545</v>
      </c>
      <c r="AW331" s="8">
        <v>1006</v>
      </c>
      <c r="AX331" s="8">
        <v>581</v>
      </c>
      <c r="AY331" s="8">
        <v>357</v>
      </c>
      <c r="AZ331" s="8">
        <v>636</v>
      </c>
      <c r="BA331" s="8">
        <v>533</v>
      </c>
      <c r="BB331" s="8">
        <v>520</v>
      </c>
      <c r="BC331" s="8">
        <v>413</v>
      </c>
      <c r="BD331" s="8">
        <v>562</v>
      </c>
      <c r="BE331" s="8">
        <v>1477</v>
      </c>
      <c r="BF331" s="8">
        <v>899</v>
      </c>
      <c r="BG331" s="8">
        <v>878</v>
      </c>
      <c r="BH331" s="8">
        <v>685</v>
      </c>
      <c r="BI331" s="8">
        <v>802</v>
      </c>
      <c r="BJ331" s="8">
        <v>818</v>
      </c>
      <c r="BK331" s="8">
        <v>507</v>
      </c>
      <c r="BL331" s="8">
        <v>571</v>
      </c>
      <c r="BM331" s="8">
        <v>601</v>
      </c>
      <c r="BN331" s="8">
        <v>756</v>
      </c>
      <c r="BO331" s="8">
        <v>717</v>
      </c>
      <c r="BP331" s="8">
        <v>921</v>
      </c>
      <c r="BQ331" s="8">
        <v>1711</v>
      </c>
      <c r="BR331" s="8">
        <v>845</v>
      </c>
      <c r="BS331" s="8">
        <v>1090</v>
      </c>
      <c r="BT331" s="8">
        <v>851</v>
      </c>
      <c r="BU331" s="8">
        <v>572</v>
      </c>
      <c r="BV331" s="8">
        <v>633</v>
      </c>
      <c r="BW331" s="8">
        <v>802</v>
      </c>
      <c r="BX331" s="8">
        <v>443</v>
      </c>
      <c r="BY331" s="8">
        <v>634</v>
      </c>
      <c r="BZ331" s="8">
        <v>861</v>
      </c>
      <c r="CA331" s="8">
        <v>640</v>
      </c>
      <c r="CB331" s="8">
        <v>376</v>
      </c>
      <c r="CC331" s="8">
        <v>747</v>
      </c>
      <c r="CD331" s="8">
        <v>693</v>
      </c>
      <c r="CE331" s="8">
        <v>822</v>
      </c>
      <c r="CF331" s="8">
        <v>692</v>
      </c>
      <c r="CG331" s="8">
        <v>1194</v>
      </c>
      <c r="CH331" s="8">
        <v>1026</v>
      </c>
      <c r="CJ331" s="9"/>
      <c r="CK331" s="9"/>
      <c r="CL331" s="9"/>
      <c r="CM331" s="9"/>
      <c r="CN331" s="9"/>
      <c r="CO331" s="9"/>
      <c r="CP331" s="9"/>
      <c r="CQ331" s="9"/>
      <c r="CR331" s="9"/>
      <c r="CS331" s="9"/>
      <c r="CT331" s="9"/>
      <c r="CU331" s="9"/>
      <c r="CV331" s="9"/>
      <c r="CW331" s="9"/>
      <c r="CX331" s="9"/>
      <c r="CY331" s="9"/>
      <c r="CZ331" s="9"/>
      <c r="DA331" s="9"/>
      <c r="DB331" s="9"/>
      <c r="DC331" s="9"/>
      <c r="DD331" s="9"/>
      <c r="DE331" s="9"/>
      <c r="DF331" s="9"/>
      <c r="DG331" s="9"/>
      <c r="DH331" s="9"/>
      <c r="DI331" s="9"/>
      <c r="DJ331" s="9"/>
      <c r="DK331" s="9"/>
      <c r="DL331" s="9"/>
      <c r="DM331" s="9"/>
      <c r="DN331" s="9"/>
      <c r="DO331" s="9"/>
      <c r="DP331" s="9"/>
      <c r="DQ331" s="9"/>
      <c r="DR331" s="9"/>
      <c r="DS331" s="9"/>
      <c r="DT331" s="9"/>
      <c r="DU331" s="9"/>
      <c r="DV331" s="9"/>
      <c r="DW331" s="9"/>
      <c r="DX331" s="9"/>
      <c r="DY331" s="9"/>
      <c r="DZ331" s="9"/>
      <c r="EA331" s="9"/>
      <c r="EB331" s="9"/>
      <c r="EC331" s="9"/>
      <c r="ED331" s="9"/>
      <c r="EE331" s="9"/>
      <c r="EF331" s="9"/>
      <c r="EG331" s="9"/>
      <c r="EH331" s="9"/>
      <c r="EI331" s="9"/>
      <c r="EJ331" s="9"/>
      <c r="EK331" s="9"/>
      <c r="EL331" s="9"/>
      <c r="EM331" s="9"/>
      <c r="EN331" s="9"/>
      <c r="EO331" s="9"/>
      <c r="EP331" s="9"/>
      <c r="EQ331" s="9"/>
      <c r="ER331" s="9"/>
      <c r="ES331" s="9"/>
      <c r="ET331" s="9"/>
      <c r="EU331" s="9"/>
      <c r="EV331" s="9"/>
      <c r="EW331" s="9"/>
      <c r="EX331" s="9"/>
      <c r="EY331" s="9"/>
      <c r="EZ331" s="9"/>
      <c r="FA331" s="9"/>
      <c r="FB331" s="9"/>
      <c r="FC331" s="9"/>
      <c r="FD331" s="9"/>
      <c r="FE331" s="9"/>
      <c r="FF331" s="9"/>
      <c r="FG331" s="9"/>
      <c r="FH331" s="9"/>
      <c r="FI331" s="9"/>
    </row>
    <row r="332" spans="1:165" x14ac:dyDescent="0.2">
      <c r="A332" s="1" t="s">
        <v>1380</v>
      </c>
      <c r="B332" s="1" t="s">
        <v>1381</v>
      </c>
      <c r="C332" s="1" t="s">
        <v>378</v>
      </c>
      <c r="D332" s="1" t="str">
        <f>HYPERLINK("http://eros.fiehnlab.ucdavis.edu:8080/binbase-compound/bin/show/200571?db=rtx5","200571")</f>
        <v>200571</v>
      </c>
      <c r="E332" s="1" t="s">
        <v>1382</v>
      </c>
      <c r="F332" s="1" t="s">
        <v>184</v>
      </c>
      <c r="G332" s="1" t="s">
        <v>184</v>
      </c>
      <c r="H332" s="1"/>
      <c r="I332" s="8">
        <v>282</v>
      </c>
      <c r="J332" s="8">
        <v>425</v>
      </c>
      <c r="K332" s="8">
        <v>414</v>
      </c>
      <c r="L332" s="8">
        <v>464</v>
      </c>
      <c r="M332" s="8">
        <v>400</v>
      </c>
      <c r="N332" s="8">
        <v>664</v>
      </c>
      <c r="O332" s="8">
        <v>368</v>
      </c>
      <c r="P332" s="8">
        <v>456</v>
      </c>
      <c r="Q332" s="8">
        <v>472</v>
      </c>
      <c r="R332" s="8">
        <v>522</v>
      </c>
      <c r="S332" s="8">
        <v>511</v>
      </c>
      <c r="T332" s="8">
        <v>626</v>
      </c>
      <c r="U332" s="8">
        <v>696</v>
      </c>
      <c r="V332" s="8">
        <v>354</v>
      </c>
      <c r="W332" s="8">
        <v>333</v>
      </c>
      <c r="X332" s="8">
        <v>379</v>
      </c>
      <c r="Y332" s="8">
        <v>470</v>
      </c>
      <c r="Z332" s="8">
        <v>654</v>
      </c>
      <c r="AA332" s="8">
        <v>231</v>
      </c>
      <c r="AB332" s="8">
        <v>542</v>
      </c>
      <c r="AC332" s="8">
        <v>508</v>
      </c>
      <c r="AD332" s="8">
        <v>584</v>
      </c>
      <c r="AE332" s="8">
        <v>399</v>
      </c>
      <c r="AF332" s="8">
        <v>560</v>
      </c>
      <c r="AG332" s="8">
        <v>309</v>
      </c>
      <c r="AH332" s="8">
        <v>524</v>
      </c>
      <c r="AI332" s="8">
        <v>540</v>
      </c>
      <c r="AJ332" s="8">
        <v>526</v>
      </c>
      <c r="AK332" s="8">
        <v>415</v>
      </c>
      <c r="AL332" s="8">
        <v>599</v>
      </c>
      <c r="AM332" s="8">
        <v>357</v>
      </c>
      <c r="AN332" s="8">
        <v>281</v>
      </c>
      <c r="AO332" s="8">
        <v>555</v>
      </c>
      <c r="AP332" s="8">
        <v>403</v>
      </c>
      <c r="AQ332" s="8">
        <v>339</v>
      </c>
      <c r="AR332" s="8">
        <v>546</v>
      </c>
      <c r="AS332" s="8">
        <v>510</v>
      </c>
      <c r="AT332" s="8">
        <v>402</v>
      </c>
      <c r="AU332" s="8">
        <v>452</v>
      </c>
      <c r="AV332" s="8">
        <v>404</v>
      </c>
      <c r="AW332" s="8">
        <v>305</v>
      </c>
      <c r="AX332" s="8">
        <v>458</v>
      </c>
      <c r="AY332" s="8">
        <v>514</v>
      </c>
      <c r="AZ332" s="8">
        <v>328</v>
      </c>
      <c r="BA332" s="8">
        <v>395</v>
      </c>
      <c r="BB332" s="8">
        <v>466</v>
      </c>
      <c r="BC332" s="8">
        <v>380</v>
      </c>
      <c r="BD332" s="8">
        <v>553</v>
      </c>
      <c r="BE332" s="8">
        <v>509</v>
      </c>
      <c r="BF332" s="8">
        <v>480</v>
      </c>
      <c r="BG332" s="8">
        <v>388</v>
      </c>
      <c r="BH332" s="8">
        <v>395</v>
      </c>
      <c r="BI332" s="8">
        <v>459</v>
      </c>
      <c r="BJ332" s="8">
        <v>483</v>
      </c>
      <c r="BK332" s="8">
        <v>439</v>
      </c>
      <c r="BL332" s="8">
        <v>516</v>
      </c>
      <c r="BM332" s="8">
        <v>530</v>
      </c>
      <c r="BN332" s="8">
        <v>253</v>
      </c>
      <c r="BO332" s="8">
        <v>365</v>
      </c>
      <c r="BP332" s="8">
        <v>274</v>
      </c>
      <c r="BQ332" s="8">
        <v>288</v>
      </c>
      <c r="BR332" s="8">
        <v>346</v>
      </c>
      <c r="BS332" s="8">
        <v>334</v>
      </c>
      <c r="BT332" s="8">
        <v>373</v>
      </c>
      <c r="BU332" s="8">
        <v>294</v>
      </c>
      <c r="BV332" s="8">
        <v>483</v>
      </c>
      <c r="BW332" s="8">
        <v>251</v>
      </c>
      <c r="BX332" s="8">
        <v>487</v>
      </c>
      <c r="BY332" s="8">
        <v>630</v>
      </c>
      <c r="BZ332" s="8">
        <v>323</v>
      </c>
      <c r="CA332" s="8">
        <v>514</v>
      </c>
      <c r="CB332" s="8">
        <v>623</v>
      </c>
      <c r="CC332" s="8">
        <v>375</v>
      </c>
      <c r="CD332" s="8">
        <v>346</v>
      </c>
      <c r="CE332" s="8">
        <v>464</v>
      </c>
      <c r="CF332" s="8">
        <v>527</v>
      </c>
      <c r="CG332" s="8">
        <v>399</v>
      </c>
      <c r="CH332" s="8">
        <v>385</v>
      </c>
      <c r="CJ332" s="9"/>
      <c r="CK332" s="9"/>
      <c r="CL332" s="9"/>
      <c r="CM332" s="9"/>
      <c r="CN332" s="9"/>
      <c r="CO332" s="9"/>
      <c r="CP332" s="9"/>
      <c r="CQ332" s="9"/>
      <c r="CR332" s="9"/>
      <c r="CS332" s="9"/>
      <c r="CT332" s="9"/>
      <c r="CU332" s="9"/>
      <c r="CV332" s="9"/>
      <c r="CW332" s="9"/>
      <c r="CX332" s="9"/>
      <c r="CY332" s="9"/>
      <c r="CZ332" s="9"/>
      <c r="DA332" s="9"/>
      <c r="DB332" s="9"/>
      <c r="DC332" s="9"/>
      <c r="DD332" s="9"/>
      <c r="DE332" s="9"/>
      <c r="DF332" s="9"/>
      <c r="DG332" s="9"/>
      <c r="DH332" s="9"/>
      <c r="DI332" s="9"/>
      <c r="DJ332" s="9"/>
      <c r="DK332" s="9"/>
      <c r="DL332" s="9"/>
      <c r="DM332" s="9"/>
      <c r="DN332" s="9"/>
      <c r="DO332" s="9"/>
      <c r="DP332" s="9"/>
      <c r="DQ332" s="9"/>
      <c r="DR332" s="9"/>
      <c r="DS332" s="9"/>
      <c r="DT332" s="9"/>
      <c r="DU332" s="9"/>
      <c r="DV332" s="9"/>
      <c r="DW332" s="9"/>
      <c r="DX332" s="9"/>
      <c r="DY332" s="9"/>
      <c r="DZ332" s="9"/>
      <c r="EA332" s="9"/>
      <c r="EB332" s="9"/>
      <c r="EC332" s="9"/>
      <c r="ED332" s="9"/>
      <c r="EE332" s="9"/>
      <c r="EF332" s="9"/>
      <c r="EG332" s="9"/>
      <c r="EH332" s="9"/>
      <c r="EI332" s="9"/>
      <c r="EJ332" s="9"/>
      <c r="EK332" s="9"/>
      <c r="EL332" s="9"/>
      <c r="EM332" s="9"/>
      <c r="EN332" s="9"/>
      <c r="EO332" s="9"/>
      <c r="EP332" s="9"/>
      <c r="EQ332" s="9"/>
      <c r="ER332" s="9"/>
      <c r="ES332" s="9"/>
      <c r="ET332" s="9"/>
      <c r="EU332" s="9"/>
      <c r="EV332" s="9"/>
      <c r="EW332" s="9"/>
      <c r="EX332" s="9"/>
      <c r="EY332" s="9"/>
      <c r="EZ332" s="9"/>
      <c r="FA332" s="9"/>
      <c r="FB332" s="9"/>
      <c r="FC332" s="9"/>
      <c r="FD332" s="9"/>
      <c r="FE332" s="9"/>
      <c r="FF332" s="9"/>
      <c r="FG332" s="9"/>
      <c r="FH332" s="9"/>
      <c r="FI332" s="9"/>
    </row>
    <row r="333" spans="1:165" x14ac:dyDescent="0.2">
      <c r="A333" s="1" t="s">
        <v>849</v>
      </c>
      <c r="B333" s="1" t="s">
        <v>850</v>
      </c>
      <c r="C333" s="1" t="s">
        <v>719</v>
      </c>
      <c r="D333" s="1" t="str">
        <f>HYPERLINK("http://eros.fiehnlab.ucdavis.edu:8080/binbase-compound/bin/show/321617?db=rtx5","321617")</f>
        <v>321617</v>
      </c>
      <c r="E333" s="1" t="s">
        <v>851</v>
      </c>
      <c r="F333" s="1" t="s">
        <v>184</v>
      </c>
      <c r="G333" s="1" t="s">
        <v>184</v>
      </c>
      <c r="H333" s="1"/>
      <c r="I333" s="8">
        <v>858</v>
      </c>
      <c r="J333" s="8">
        <v>925</v>
      </c>
      <c r="K333" s="8">
        <v>355</v>
      </c>
      <c r="L333" s="8">
        <v>343</v>
      </c>
      <c r="M333" s="8">
        <v>467</v>
      </c>
      <c r="N333" s="8">
        <v>522</v>
      </c>
      <c r="O333" s="8">
        <v>439</v>
      </c>
      <c r="P333" s="8">
        <v>630</v>
      </c>
      <c r="Q333" s="8">
        <v>330</v>
      </c>
      <c r="R333" s="8">
        <v>552</v>
      </c>
      <c r="S333" s="8">
        <v>436</v>
      </c>
      <c r="T333" s="8">
        <v>460</v>
      </c>
      <c r="U333" s="8">
        <v>665</v>
      </c>
      <c r="V333" s="8">
        <v>641</v>
      </c>
      <c r="W333" s="8">
        <v>546</v>
      </c>
      <c r="X333" s="8">
        <v>551</v>
      </c>
      <c r="Y333" s="8">
        <v>619</v>
      </c>
      <c r="Z333" s="8">
        <v>328</v>
      </c>
      <c r="AA333" s="8">
        <v>407</v>
      </c>
      <c r="AB333" s="8">
        <v>565</v>
      </c>
      <c r="AC333" s="8">
        <v>461</v>
      </c>
      <c r="AD333" s="8">
        <v>282</v>
      </c>
      <c r="AE333" s="8">
        <v>565</v>
      </c>
      <c r="AF333" s="8">
        <v>515</v>
      </c>
      <c r="AG333" s="8">
        <v>594</v>
      </c>
      <c r="AH333" s="8">
        <v>575</v>
      </c>
      <c r="AI333" s="8">
        <v>330</v>
      </c>
      <c r="AJ333" s="8">
        <v>258</v>
      </c>
      <c r="AK333" s="8">
        <v>360</v>
      </c>
      <c r="AL333" s="8">
        <v>252</v>
      </c>
      <c r="AM333" s="8">
        <v>883</v>
      </c>
      <c r="AN333" s="8">
        <v>491</v>
      </c>
      <c r="AO333" s="8">
        <v>533</v>
      </c>
      <c r="AP333" s="8">
        <v>533</v>
      </c>
      <c r="AQ333" s="8">
        <v>331</v>
      </c>
      <c r="AR333" s="8">
        <v>444</v>
      </c>
      <c r="AS333" s="8">
        <v>453</v>
      </c>
      <c r="AT333" s="8">
        <v>465</v>
      </c>
      <c r="AU333" s="8">
        <v>608</v>
      </c>
      <c r="AV333" s="8">
        <v>636</v>
      </c>
      <c r="AW333" s="8">
        <v>495</v>
      </c>
      <c r="AX333" s="8">
        <v>1020</v>
      </c>
      <c r="AY333" s="8">
        <v>374</v>
      </c>
      <c r="AZ333" s="8">
        <v>610</v>
      </c>
      <c r="BA333" s="8">
        <v>487</v>
      </c>
      <c r="BB333" s="8">
        <v>875</v>
      </c>
      <c r="BC333" s="8">
        <v>387</v>
      </c>
      <c r="BD333" s="8">
        <v>408</v>
      </c>
      <c r="BE333" s="8">
        <v>404</v>
      </c>
      <c r="BF333" s="8">
        <v>399</v>
      </c>
      <c r="BG333" s="8">
        <v>594</v>
      </c>
      <c r="BH333" s="8">
        <v>403</v>
      </c>
      <c r="BI333" s="8">
        <v>392</v>
      </c>
      <c r="BJ333" s="8">
        <v>436</v>
      </c>
      <c r="BK333" s="8">
        <v>521</v>
      </c>
      <c r="BL333" s="8">
        <v>639</v>
      </c>
      <c r="BM333" s="8">
        <v>577</v>
      </c>
      <c r="BN333" s="8">
        <v>501</v>
      </c>
      <c r="BO333" s="8">
        <v>706</v>
      </c>
      <c r="BP333" s="8">
        <v>644</v>
      </c>
      <c r="BQ333" s="8">
        <v>716</v>
      </c>
      <c r="BR333" s="8">
        <v>918</v>
      </c>
      <c r="BS333" s="8">
        <v>607</v>
      </c>
      <c r="BT333" s="8">
        <v>490</v>
      </c>
      <c r="BU333" s="8">
        <v>348</v>
      </c>
      <c r="BV333" s="8">
        <v>447</v>
      </c>
      <c r="BW333" s="8">
        <v>514</v>
      </c>
      <c r="BX333" s="8">
        <v>416</v>
      </c>
      <c r="BY333" s="8">
        <v>625</v>
      </c>
      <c r="BZ333" s="8">
        <v>400</v>
      </c>
      <c r="CA333" s="8">
        <v>495</v>
      </c>
      <c r="CB333" s="8">
        <v>394</v>
      </c>
      <c r="CC333" s="8">
        <v>417</v>
      </c>
      <c r="CD333" s="8">
        <v>402</v>
      </c>
      <c r="CE333" s="8">
        <v>461</v>
      </c>
      <c r="CF333" s="8">
        <v>315</v>
      </c>
      <c r="CG333" s="8">
        <v>617</v>
      </c>
      <c r="CH333" s="8">
        <v>443</v>
      </c>
      <c r="CJ333" s="9"/>
      <c r="CK333" s="9"/>
      <c r="CL333" s="9"/>
      <c r="CM333" s="9"/>
      <c r="CN333" s="9"/>
      <c r="CO333" s="9"/>
      <c r="CP333" s="9"/>
      <c r="CQ333" s="9"/>
      <c r="CR333" s="9"/>
      <c r="CS333" s="9"/>
      <c r="CT333" s="9"/>
      <c r="CU333" s="9"/>
      <c r="CV333" s="9"/>
      <c r="CW333" s="9"/>
      <c r="CX333" s="9"/>
      <c r="CY333" s="9"/>
      <c r="CZ333" s="9"/>
      <c r="DA333" s="9"/>
      <c r="DB333" s="9"/>
      <c r="DC333" s="9"/>
      <c r="DD333" s="9"/>
      <c r="DE333" s="9"/>
      <c r="DF333" s="9"/>
      <c r="DG333" s="9"/>
      <c r="DH333" s="9"/>
      <c r="DI333" s="9"/>
      <c r="DJ333" s="9"/>
      <c r="DK333" s="9"/>
      <c r="DL333" s="9"/>
      <c r="DM333" s="9"/>
      <c r="DN333" s="9"/>
      <c r="DO333" s="9"/>
      <c r="DP333" s="9"/>
      <c r="DQ333" s="9"/>
      <c r="DR333" s="9"/>
      <c r="DS333" s="9"/>
      <c r="DT333" s="9"/>
      <c r="DU333" s="9"/>
      <c r="DV333" s="9"/>
      <c r="DW333" s="9"/>
      <c r="DX333" s="9"/>
      <c r="DY333" s="9"/>
      <c r="DZ333" s="9"/>
      <c r="EA333" s="9"/>
      <c r="EB333" s="9"/>
      <c r="EC333" s="9"/>
      <c r="ED333" s="9"/>
      <c r="EE333" s="9"/>
      <c r="EF333" s="9"/>
      <c r="EG333" s="9"/>
      <c r="EH333" s="9"/>
      <c r="EI333" s="9"/>
      <c r="EJ333" s="9"/>
      <c r="EK333" s="9"/>
      <c r="EL333" s="9"/>
      <c r="EM333" s="9"/>
      <c r="EN333" s="9"/>
      <c r="EO333" s="9"/>
      <c r="EP333" s="9"/>
      <c r="EQ333" s="9"/>
      <c r="ER333" s="9"/>
      <c r="ES333" s="9"/>
      <c r="ET333" s="9"/>
      <c r="EU333" s="9"/>
      <c r="EV333" s="9"/>
      <c r="EW333" s="9"/>
      <c r="EX333" s="9"/>
      <c r="EY333" s="9"/>
      <c r="EZ333" s="9"/>
      <c r="FA333" s="9"/>
      <c r="FB333" s="9"/>
      <c r="FC333" s="9"/>
      <c r="FD333" s="9"/>
      <c r="FE333" s="9"/>
      <c r="FF333" s="9"/>
      <c r="FG333" s="9"/>
      <c r="FH333" s="9"/>
      <c r="FI333" s="9"/>
    </row>
    <row r="334" spans="1:165" x14ac:dyDescent="0.2">
      <c r="A334" s="1" t="s">
        <v>1248</v>
      </c>
      <c r="B334" s="1" t="s">
        <v>1249</v>
      </c>
      <c r="C334" s="1" t="s">
        <v>744</v>
      </c>
      <c r="D334" s="1" t="str">
        <f>HYPERLINK("http://eros.fiehnlab.ucdavis.edu:8080/binbase-compound/bin/show/218784?db=rtx5","218784")</f>
        <v>218784</v>
      </c>
      <c r="E334" s="1" t="s">
        <v>1250</v>
      </c>
      <c r="F334" s="1" t="s">
        <v>184</v>
      </c>
      <c r="G334" s="1" t="s">
        <v>184</v>
      </c>
      <c r="H334" s="1"/>
      <c r="I334" s="8">
        <v>316</v>
      </c>
      <c r="J334" s="8">
        <v>239</v>
      </c>
      <c r="K334" s="8">
        <v>207</v>
      </c>
      <c r="L334" s="8">
        <v>901</v>
      </c>
      <c r="M334" s="8">
        <v>2298</v>
      </c>
      <c r="N334" s="8">
        <v>2366</v>
      </c>
      <c r="O334" s="8">
        <v>669</v>
      </c>
      <c r="P334" s="8">
        <v>221</v>
      </c>
      <c r="Q334" s="8">
        <v>2406</v>
      </c>
      <c r="R334" s="8">
        <v>469</v>
      </c>
      <c r="S334" s="8">
        <v>893</v>
      </c>
      <c r="T334" s="8">
        <v>106</v>
      </c>
      <c r="U334" s="8">
        <v>2757</v>
      </c>
      <c r="V334" s="8">
        <v>2250</v>
      </c>
      <c r="W334" s="8">
        <v>2466</v>
      </c>
      <c r="X334" s="8">
        <v>2699</v>
      </c>
      <c r="Y334" s="8">
        <v>1777</v>
      </c>
      <c r="Z334" s="8">
        <v>2205</v>
      </c>
      <c r="AA334" s="8">
        <v>77</v>
      </c>
      <c r="AB334" s="8">
        <v>723</v>
      </c>
      <c r="AC334" s="8">
        <v>108</v>
      </c>
      <c r="AD334" s="8">
        <v>374</v>
      </c>
      <c r="AE334" s="8">
        <v>745</v>
      </c>
      <c r="AF334" s="8">
        <v>943</v>
      </c>
      <c r="AG334" s="8">
        <v>784</v>
      </c>
      <c r="AH334" s="8">
        <v>1311</v>
      </c>
      <c r="AI334" s="8">
        <v>723</v>
      </c>
      <c r="AJ334" s="8">
        <v>438</v>
      </c>
      <c r="AK334" s="8">
        <v>1932</v>
      </c>
      <c r="AL334" s="8">
        <v>2470</v>
      </c>
      <c r="AM334" s="8">
        <v>219</v>
      </c>
      <c r="AN334" s="8">
        <v>756</v>
      </c>
      <c r="AO334" s="8">
        <v>472</v>
      </c>
      <c r="AP334" s="8">
        <v>3108</v>
      </c>
      <c r="AQ334" s="8">
        <v>2257</v>
      </c>
      <c r="AR334" s="8">
        <v>2037</v>
      </c>
      <c r="AS334" s="8">
        <v>649</v>
      </c>
      <c r="AT334" s="8">
        <v>2774</v>
      </c>
      <c r="AU334" s="8">
        <v>327</v>
      </c>
      <c r="AV334" s="8">
        <v>295</v>
      </c>
      <c r="AW334" s="8">
        <v>864</v>
      </c>
      <c r="AX334" s="8">
        <v>1858</v>
      </c>
      <c r="AY334" s="8">
        <v>176</v>
      </c>
      <c r="AZ334" s="8">
        <v>2835</v>
      </c>
      <c r="BA334" s="8">
        <v>2780</v>
      </c>
      <c r="BB334" s="8">
        <v>2302</v>
      </c>
      <c r="BC334" s="8">
        <v>2687</v>
      </c>
      <c r="BD334" s="8">
        <v>3046</v>
      </c>
      <c r="BE334" s="8">
        <v>432</v>
      </c>
      <c r="BF334" s="8">
        <v>1786</v>
      </c>
      <c r="BG334" s="8">
        <v>225</v>
      </c>
      <c r="BH334" s="8">
        <v>87</v>
      </c>
      <c r="BI334" s="8">
        <v>1847</v>
      </c>
      <c r="BJ334" s="8">
        <v>2370</v>
      </c>
      <c r="BK334" s="8">
        <v>1491</v>
      </c>
      <c r="BL334" s="8">
        <v>291</v>
      </c>
      <c r="BM334" s="8">
        <v>371</v>
      </c>
      <c r="BN334" s="8">
        <v>1472</v>
      </c>
      <c r="BO334" s="8">
        <v>1077</v>
      </c>
      <c r="BP334" s="8">
        <v>1165</v>
      </c>
      <c r="BQ334" s="8">
        <v>1249</v>
      </c>
      <c r="BR334" s="8">
        <v>934</v>
      </c>
      <c r="BS334" s="8">
        <v>235</v>
      </c>
      <c r="BT334" s="8">
        <v>2338</v>
      </c>
      <c r="BU334" s="8">
        <v>2207</v>
      </c>
      <c r="BV334" s="8">
        <v>1660</v>
      </c>
      <c r="BW334" s="8">
        <v>1027</v>
      </c>
      <c r="BX334" s="8">
        <v>234</v>
      </c>
      <c r="BY334" s="8">
        <v>669</v>
      </c>
      <c r="BZ334" s="8">
        <v>2126</v>
      </c>
      <c r="CA334" s="8">
        <v>2613</v>
      </c>
      <c r="CB334" s="8">
        <v>1441</v>
      </c>
      <c r="CC334" s="8">
        <v>2460</v>
      </c>
      <c r="CD334" s="8">
        <v>1771</v>
      </c>
      <c r="CE334" s="8">
        <v>1113</v>
      </c>
      <c r="CF334" s="8">
        <v>196</v>
      </c>
      <c r="CG334" s="8">
        <v>1671</v>
      </c>
      <c r="CH334" s="8">
        <v>2481</v>
      </c>
      <c r="CJ334" s="9"/>
      <c r="CK334" s="9"/>
      <c r="CL334" s="9"/>
      <c r="CM334" s="9"/>
      <c r="CN334" s="9"/>
      <c r="CO334" s="9"/>
      <c r="CP334" s="9"/>
      <c r="CQ334" s="9"/>
      <c r="CR334" s="9"/>
      <c r="CS334" s="9"/>
      <c r="CT334" s="9"/>
      <c r="CU334" s="9"/>
      <c r="CV334" s="9"/>
      <c r="CW334" s="9"/>
      <c r="CX334" s="9"/>
      <c r="CY334" s="9"/>
      <c r="CZ334" s="9"/>
      <c r="DA334" s="9"/>
      <c r="DB334" s="9"/>
      <c r="DC334" s="9"/>
      <c r="DD334" s="9"/>
      <c r="DE334" s="9"/>
      <c r="DF334" s="9"/>
      <c r="DG334" s="9"/>
      <c r="DH334" s="9"/>
      <c r="DI334" s="9"/>
      <c r="DJ334" s="9"/>
      <c r="DK334" s="9"/>
      <c r="DL334" s="9"/>
      <c r="DM334" s="9"/>
      <c r="DN334" s="9"/>
      <c r="DO334" s="9"/>
      <c r="DP334" s="9"/>
      <c r="DQ334" s="9"/>
      <c r="DR334" s="9"/>
      <c r="DS334" s="9"/>
      <c r="DT334" s="9"/>
      <c r="DU334" s="9"/>
      <c r="DV334" s="9"/>
      <c r="DW334" s="9"/>
      <c r="DX334" s="9"/>
      <c r="DY334" s="9"/>
      <c r="DZ334" s="9"/>
      <c r="EA334" s="9"/>
      <c r="EB334" s="9"/>
      <c r="EC334" s="9"/>
      <c r="ED334" s="9"/>
      <c r="EE334" s="9"/>
      <c r="EF334" s="9"/>
      <c r="EG334" s="9"/>
      <c r="EH334" s="9"/>
      <c r="EI334" s="9"/>
      <c r="EJ334" s="9"/>
      <c r="EK334" s="9"/>
      <c r="EL334" s="9"/>
      <c r="EM334" s="9"/>
      <c r="EN334" s="9"/>
      <c r="EO334" s="9"/>
      <c r="EP334" s="9"/>
      <c r="EQ334" s="9"/>
      <c r="ER334" s="9"/>
      <c r="ES334" s="9"/>
      <c r="ET334" s="9"/>
      <c r="EU334" s="9"/>
      <c r="EV334" s="9"/>
      <c r="EW334" s="9"/>
      <c r="EX334" s="9"/>
      <c r="EY334" s="9"/>
      <c r="EZ334" s="9"/>
      <c r="FA334" s="9"/>
      <c r="FB334" s="9"/>
      <c r="FC334" s="9"/>
      <c r="FD334" s="9"/>
      <c r="FE334" s="9"/>
      <c r="FF334" s="9"/>
      <c r="FG334" s="9"/>
      <c r="FH334" s="9"/>
      <c r="FI334" s="9"/>
    </row>
    <row r="335" spans="1:165" x14ac:dyDescent="0.2">
      <c r="A335" s="1" t="s">
        <v>807</v>
      </c>
      <c r="B335" s="1" t="s">
        <v>808</v>
      </c>
      <c r="C335" s="1" t="s">
        <v>809</v>
      </c>
      <c r="D335" s="1" t="str">
        <f>HYPERLINK("http://eros.fiehnlab.ucdavis.edu:8080/binbase-compound/bin/show/356954?db=rtx5","356954")</f>
        <v>356954</v>
      </c>
      <c r="E335" s="1" t="s">
        <v>810</v>
      </c>
      <c r="F335" s="1" t="s">
        <v>184</v>
      </c>
      <c r="G335" s="1" t="s">
        <v>184</v>
      </c>
      <c r="H335" s="1"/>
      <c r="I335" s="8">
        <v>572</v>
      </c>
      <c r="J335" s="8">
        <v>661</v>
      </c>
      <c r="K335" s="8">
        <v>407</v>
      </c>
      <c r="L335" s="8">
        <v>709</v>
      </c>
      <c r="M335" s="8">
        <v>747</v>
      </c>
      <c r="N335" s="8">
        <v>770</v>
      </c>
      <c r="O335" s="8">
        <v>706</v>
      </c>
      <c r="P335" s="8">
        <v>718</v>
      </c>
      <c r="Q335" s="8">
        <v>557</v>
      </c>
      <c r="R335" s="8">
        <v>639</v>
      </c>
      <c r="S335" s="8">
        <v>783</v>
      </c>
      <c r="T335" s="8">
        <v>548</v>
      </c>
      <c r="U335" s="8">
        <v>643</v>
      </c>
      <c r="V335" s="8">
        <v>620</v>
      </c>
      <c r="W335" s="8">
        <v>419</v>
      </c>
      <c r="X335" s="8">
        <v>645</v>
      </c>
      <c r="Y335" s="8">
        <v>519</v>
      </c>
      <c r="Z335" s="8">
        <v>684</v>
      </c>
      <c r="AA335" s="8">
        <v>222</v>
      </c>
      <c r="AB335" s="8">
        <v>667</v>
      </c>
      <c r="AC335" s="8">
        <v>547</v>
      </c>
      <c r="AD335" s="8">
        <v>385</v>
      </c>
      <c r="AE335" s="8">
        <v>506</v>
      </c>
      <c r="AF335" s="8">
        <v>493</v>
      </c>
      <c r="AG335" s="8">
        <v>412</v>
      </c>
      <c r="AH335" s="8">
        <v>633</v>
      </c>
      <c r="AI335" s="8">
        <v>684</v>
      </c>
      <c r="AJ335" s="8">
        <v>619</v>
      </c>
      <c r="AK335" s="8">
        <v>481</v>
      </c>
      <c r="AL335" s="8">
        <v>744</v>
      </c>
      <c r="AM335" s="8">
        <v>637</v>
      </c>
      <c r="AN335" s="8">
        <v>684</v>
      </c>
      <c r="AO335" s="8">
        <v>635</v>
      </c>
      <c r="AP335" s="8">
        <v>554</v>
      </c>
      <c r="AQ335" s="8">
        <v>776</v>
      </c>
      <c r="AR335" s="8">
        <v>691</v>
      </c>
      <c r="AS335" s="8">
        <v>528</v>
      </c>
      <c r="AT335" s="8">
        <v>613</v>
      </c>
      <c r="AU335" s="8">
        <v>324</v>
      </c>
      <c r="AV335" s="8">
        <v>332</v>
      </c>
      <c r="AW335" s="8">
        <v>456</v>
      </c>
      <c r="AX335" s="8">
        <v>605</v>
      </c>
      <c r="AY335" s="8">
        <v>862</v>
      </c>
      <c r="AZ335" s="8">
        <v>528</v>
      </c>
      <c r="BA335" s="8">
        <v>569</v>
      </c>
      <c r="BB335" s="8">
        <v>669</v>
      </c>
      <c r="BC335" s="8">
        <v>999</v>
      </c>
      <c r="BD335" s="8">
        <v>827</v>
      </c>
      <c r="BE335" s="8">
        <v>521</v>
      </c>
      <c r="BF335" s="8">
        <v>660</v>
      </c>
      <c r="BG335" s="8">
        <v>489</v>
      </c>
      <c r="BH335" s="8">
        <v>504</v>
      </c>
      <c r="BI335" s="8">
        <v>547</v>
      </c>
      <c r="BJ335" s="8">
        <v>719</v>
      </c>
      <c r="BK335" s="8">
        <v>703</v>
      </c>
      <c r="BL335" s="8">
        <v>671</v>
      </c>
      <c r="BM335" s="8">
        <v>615</v>
      </c>
      <c r="BN335" s="8">
        <v>377</v>
      </c>
      <c r="BO335" s="8">
        <v>530</v>
      </c>
      <c r="BP335" s="8">
        <v>528</v>
      </c>
      <c r="BQ335" s="8">
        <v>528</v>
      </c>
      <c r="BR335" s="8">
        <v>470</v>
      </c>
      <c r="BS335" s="8">
        <v>529</v>
      </c>
      <c r="BT335" s="8">
        <v>521</v>
      </c>
      <c r="BU335" s="8">
        <v>690</v>
      </c>
      <c r="BV335" s="8">
        <v>676</v>
      </c>
      <c r="BW335" s="8">
        <v>524</v>
      </c>
      <c r="BX335" s="8">
        <v>691</v>
      </c>
      <c r="BY335" s="8">
        <v>789</v>
      </c>
      <c r="BZ335" s="8">
        <v>468</v>
      </c>
      <c r="CA335" s="8">
        <v>639</v>
      </c>
      <c r="CB335" s="8">
        <v>794</v>
      </c>
      <c r="CC335" s="8">
        <v>579</v>
      </c>
      <c r="CD335" s="8">
        <v>576</v>
      </c>
      <c r="CE335" s="8">
        <v>726</v>
      </c>
      <c r="CF335" s="8">
        <v>567</v>
      </c>
      <c r="CG335" s="8">
        <v>613</v>
      </c>
      <c r="CH335" s="8">
        <v>567</v>
      </c>
      <c r="CJ335" s="9"/>
      <c r="CK335" s="9"/>
      <c r="CL335" s="9"/>
      <c r="CM335" s="9"/>
      <c r="CN335" s="9"/>
      <c r="CO335" s="9"/>
      <c r="CP335" s="9"/>
      <c r="CQ335" s="9"/>
      <c r="CR335" s="9"/>
      <c r="CS335" s="9"/>
      <c r="CT335" s="9"/>
      <c r="CU335" s="9"/>
      <c r="CV335" s="9"/>
      <c r="CW335" s="9"/>
      <c r="CX335" s="9"/>
      <c r="CY335" s="9"/>
      <c r="CZ335" s="9"/>
      <c r="DA335" s="9"/>
      <c r="DB335" s="9"/>
      <c r="DC335" s="9"/>
      <c r="DD335" s="9"/>
      <c r="DE335" s="9"/>
      <c r="DF335" s="9"/>
      <c r="DG335" s="9"/>
      <c r="DH335" s="9"/>
      <c r="DI335" s="9"/>
      <c r="DJ335" s="9"/>
      <c r="DK335" s="9"/>
      <c r="DL335" s="9"/>
      <c r="DM335" s="9"/>
      <c r="DN335" s="9"/>
      <c r="DO335" s="9"/>
      <c r="DP335" s="9"/>
      <c r="DQ335" s="9"/>
      <c r="DR335" s="9"/>
      <c r="DS335" s="9"/>
      <c r="DT335" s="9"/>
      <c r="DU335" s="9"/>
      <c r="DV335" s="9"/>
      <c r="DW335" s="9"/>
      <c r="DX335" s="9"/>
      <c r="DY335" s="9"/>
      <c r="DZ335" s="9"/>
      <c r="EA335" s="9"/>
      <c r="EB335" s="9"/>
      <c r="EC335" s="9"/>
      <c r="ED335" s="9"/>
      <c r="EE335" s="9"/>
      <c r="EF335" s="9"/>
      <c r="EG335" s="9"/>
      <c r="EH335" s="9"/>
      <c r="EI335" s="9"/>
      <c r="EJ335" s="9"/>
      <c r="EK335" s="9"/>
      <c r="EL335" s="9"/>
      <c r="EM335" s="9"/>
      <c r="EN335" s="9"/>
      <c r="EO335" s="9"/>
      <c r="EP335" s="9"/>
      <c r="EQ335" s="9"/>
      <c r="ER335" s="9"/>
      <c r="ES335" s="9"/>
      <c r="ET335" s="9"/>
      <c r="EU335" s="9"/>
      <c r="EV335" s="9"/>
      <c r="EW335" s="9"/>
      <c r="EX335" s="9"/>
      <c r="EY335" s="9"/>
      <c r="EZ335" s="9"/>
      <c r="FA335" s="9"/>
      <c r="FB335" s="9"/>
      <c r="FC335" s="9"/>
      <c r="FD335" s="9"/>
      <c r="FE335" s="9"/>
      <c r="FF335" s="9"/>
      <c r="FG335" s="9"/>
      <c r="FH335" s="9"/>
      <c r="FI335" s="9"/>
    </row>
    <row r="336" spans="1:165" x14ac:dyDescent="0.2">
      <c r="A336" s="1" t="s">
        <v>1210</v>
      </c>
      <c r="B336" s="1" t="s">
        <v>1211</v>
      </c>
      <c r="C336" s="1" t="s">
        <v>881</v>
      </c>
      <c r="D336" s="1" t="str">
        <f>HYPERLINK("http://eros.fiehnlab.ucdavis.edu:8080/binbase-compound/bin/show/223597?db=rtx5","223597")</f>
        <v>223597</v>
      </c>
      <c r="E336" s="1" t="s">
        <v>1212</v>
      </c>
      <c r="F336" s="1" t="s">
        <v>184</v>
      </c>
      <c r="G336" s="1" t="s">
        <v>184</v>
      </c>
      <c r="H336" s="1"/>
      <c r="I336" s="8">
        <v>295</v>
      </c>
      <c r="J336" s="8">
        <v>308</v>
      </c>
      <c r="K336" s="8">
        <v>333</v>
      </c>
      <c r="L336" s="8">
        <v>318</v>
      </c>
      <c r="M336" s="8">
        <v>348</v>
      </c>
      <c r="N336" s="8">
        <v>197</v>
      </c>
      <c r="O336" s="8">
        <v>352</v>
      </c>
      <c r="P336" s="8">
        <v>428</v>
      </c>
      <c r="Q336" s="8">
        <v>412</v>
      </c>
      <c r="R336" s="8">
        <v>411</v>
      </c>
      <c r="S336" s="8">
        <v>413</v>
      </c>
      <c r="T336" s="8">
        <v>326</v>
      </c>
      <c r="U336" s="8">
        <v>470</v>
      </c>
      <c r="V336" s="8">
        <v>374</v>
      </c>
      <c r="W336" s="8">
        <v>198</v>
      </c>
      <c r="X336" s="8">
        <v>407</v>
      </c>
      <c r="Y336" s="8">
        <v>255</v>
      </c>
      <c r="Z336" s="8">
        <v>315</v>
      </c>
      <c r="AA336" s="8">
        <v>147</v>
      </c>
      <c r="AB336" s="8">
        <v>418</v>
      </c>
      <c r="AC336" s="8">
        <v>585</v>
      </c>
      <c r="AD336" s="8">
        <v>293</v>
      </c>
      <c r="AE336" s="8">
        <v>251</v>
      </c>
      <c r="AF336" s="8">
        <v>257</v>
      </c>
      <c r="AG336" s="8">
        <v>206</v>
      </c>
      <c r="AH336" s="8">
        <v>301</v>
      </c>
      <c r="AI336" s="8">
        <v>436</v>
      </c>
      <c r="AJ336" s="8">
        <v>203</v>
      </c>
      <c r="AK336" s="8">
        <v>191</v>
      </c>
      <c r="AL336" s="8">
        <v>369</v>
      </c>
      <c r="AM336" s="8">
        <v>507</v>
      </c>
      <c r="AN336" s="8">
        <v>394</v>
      </c>
      <c r="AO336" s="8">
        <v>430</v>
      </c>
      <c r="AP336" s="8">
        <v>244</v>
      </c>
      <c r="AQ336" s="8">
        <v>420</v>
      </c>
      <c r="AR336" s="8">
        <v>299</v>
      </c>
      <c r="AS336" s="8">
        <v>397</v>
      </c>
      <c r="AT336" s="8">
        <v>519</v>
      </c>
      <c r="AU336" s="8">
        <v>332</v>
      </c>
      <c r="AV336" s="8">
        <v>350</v>
      </c>
      <c r="AW336" s="8">
        <v>234</v>
      </c>
      <c r="AX336" s="8">
        <v>308</v>
      </c>
      <c r="AY336" s="8">
        <v>493</v>
      </c>
      <c r="AZ336" s="8">
        <v>244</v>
      </c>
      <c r="BA336" s="8">
        <v>277</v>
      </c>
      <c r="BB336" s="8">
        <v>258</v>
      </c>
      <c r="BC336" s="8">
        <v>541</v>
      </c>
      <c r="BD336" s="8">
        <v>292</v>
      </c>
      <c r="BE336" s="8">
        <v>245</v>
      </c>
      <c r="BF336" s="8">
        <v>373</v>
      </c>
      <c r="BG336" s="8">
        <v>370</v>
      </c>
      <c r="BH336" s="8">
        <v>261</v>
      </c>
      <c r="BI336" s="8">
        <v>344</v>
      </c>
      <c r="BJ336" s="8">
        <v>378</v>
      </c>
      <c r="BK336" s="8">
        <v>435</v>
      </c>
      <c r="BL336" s="8">
        <v>343</v>
      </c>
      <c r="BM336" s="8">
        <v>321</v>
      </c>
      <c r="BN336" s="8">
        <v>207</v>
      </c>
      <c r="BO336" s="8">
        <v>328</v>
      </c>
      <c r="BP336" s="8">
        <v>238</v>
      </c>
      <c r="BQ336" s="8">
        <v>370</v>
      </c>
      <c r="BR336" s="8">
        <v>369</v>
      </c>
      <c r="BS336" s="8">
        <v>374</v>
      </c>
      <c r="BT336" s="8">
        <v>402</v>
      </c>
      <c r="BU336" s="8">
        <v>326</v>
      </c>
      <c r="BV336" s="8">
        <v>318</v>
      </c>
      <c r="BW336" s="8">
        <v>326</v>
      </c>
      <c r="BX336" s="8">
        <v>350</v>
      </c>
      <c r="BY336" s="8">
        <v>160</v>
      </c>
      <c r="BZ336" s="8">
        <v>234</v>
      </c>
      <c r="CA336" s="8">
        <v>382</v>
      </c>
      <c r="CB336" s="8">
        <v>289</v>
      </c>
      <c r="CC336" s="8">
        <v>395</v>
      </c>
      <c r="CD336" s="8">
        <v>375</v>
      </c>
      <c r="CE336" s="8">
        <v>349</v>
      </c>
      <c r="CF336" s="8">
        <v>287</v>
      </c>
      <c r="CG336" s="8">
        <v>236</v>
      </c>
      <c r="CH336" s="8">
        <v>351</v>
      </c>
      <c r="CJ336" s="9"/>
      <c r="CK336" s="9"/>
      <c r="CL336" s="9"/>
      <c r="CM336" s="9"/>
      <c r="CN336" s="9"/>
      <c r="CO336" s="9"/>
      <c r="CP336" s="9"/>
      <c r="CQ336" s="9"/>
      <c r="CR336" s="9"/>
      <c r="CS336" s="9"/>
      <c r="CT336" s="9"/>
      <c r="CU336" s="9"/>
      <c r="CV336" s="9"/>
      <c r="CW336" s="9"/>
      <c r="CX336" s="9"/>
      <c r="CY336" s="9"/>
      <c r="CZ336" s="9"/>
      <c r="DA336" s="9"/>
      <c r="DB336" s="9"/>
      <c r="DC336" s="9"/>
      <c r="DD336" s="9"/>
      <c r="DE336" s="9"/>
      <c r="DF336" s="9"/>
      <c r="DG336" s="9"/>
      <c r="DH336" s="9"/>
      <c r="DI336" s="9"/>
      <c r="DJ336" s="9"/>
      <c r="DK336" s="9"/>
      <c r="DL336" s="9"/>
      <c r="DM336" s="9"/>
      <c r="DN336" s="9"/>
      <c r="DO336" s="9"/>
      <c r="DP336" s="9"/>
      <c r="DQ336" s="9"/>
      <c r="DR336" s="9"/>
      <c r="DS336" s="9"/>
      <c r="DT336" s="9"/>
      <c r="DU336" s="9"/>
      <c r="DV336" s="9"/>
      <c r="DW336" s="9"/>
      <c r="DX336" s="9"/>
      <c r="DY336" s="9"/>
      <c r="DZ336" s="9"/>
      <c r="EA336" s="9"/>
      <c r="EB336" s="9"/>
      <c r="EC336" s="9"/>
      <c r="ED336" s="9"/>
      <c r="EE336" s="9"/>
      <c r="EF336" s="9"/>
      <c r="EG336" s="9"/>
      <c r="EH336" s="9"/>
      <c r="EI336" s="9"/>
      <c r="EJ336" s="9"/>
      <c r="EK336" s="9"/>
      <c r="EL336" s="9"/>
      <c r="EM336" s="9"/>
      <c r="EN336" s="9"/>
      <c r="EO336" s="9"/>
      <c r="EP336" s="9"/>
      <c r="EQ336" s="9"/>
      <c r="ER336" s="9"/>
      <c r="ES336" s="9"/>
      <c r="ET336" s="9"/>
      <c r="EU336" s="9"/>
      <c r="EV336" s="9"/>
      <c r="EW336" s="9"/>
      <c r="EX336" s="9"/>
      <c r="EY336" s="9"/>
      <c r="EZ336" s="9"/>
      <c r="FA336" s="9"/>
      <c r="FB336" s="9"/>
      <c r="FC336" s="9"/>
      <c r="FD336" s="9"/>
      <c r="FE336" s="9"/>
      <c r="FF336" s="9"/>
      <c r="FG336" s="9"/>
      <c r="FH336" s="9"/>
      <c r="FI336" s="9"/>
    </row>
    <row r="337" spans="1:165" x14ac:dyDescent="0.2">
      <c r="A337" s="1" t="s">
        <v>1010</v>
      </c>
      <c r="B337" s="1" t="s">
        <v>1011</v>
      </c>
      <c r="C337" s="1" t="s">
        <v>917</v>
      </c>
      <c r="D337" s="1" t="str">
        <f>HYPERLINK("http://eros.fiehnlab.ucdavis.edu:8080/binbase-compound/bin/show/270073?db=rtx5","270073")</f>
        <v>270073</v>
      </c>
      <c r="E337" s="1" t="s">
        <v>1012</v>
      </c>
      <c r="F337" s="1" t="s">
        <v>184</v>
      </c>
      <c r="G337" s="1" t="s">
        <v>184</v>
      </c>
      <c r="H337" s="1"/>
      <c r="I337" s="8">
        <v>237</v>
      </c>
      <c r="J337" s="8">
        <v>272</v>
      </c>
      <c r="K337" s="8">
        <v>231</v>
      </c>
      <c r="L337" s="8">
        <v>234</v>
      </c>
      <c r="M337" s="8">
        <v>114</v>
      </c>
      <c r="N337" s="8">
        <v>109</v>
      </c>
      <c r="O337" s="8">
        <v>257</v>
      </c>
      <c r="P337" s="8">
        <v>254</v>
      </c>
      <c r="Q337" s="8">
        <v>158</v>
      </c>
      <c r="R337" s="8">
        <v>105</v>
      </c>
      <c r="S337" s="8">
        <v>144</v>
      </c>
      <c r="T337" s="8">
        <v>107</v>
      </c>
      <c r="U337" s="8">
        <v>212</v>
      </c>
      <c r="V337" s="8">
        <v>261</v>
      </c>
      <c r="W337" s="8">
        <v>113</v>
      </c>
      <c r="X337" s="8">
        <v>141</v>
      </c>
      <c r="Y337" s="8">
        <v>65</v>
      </c>
      <c r="Z337" s="8">
        <v>67</v>
      </c>
      <c r="AA337" s="8">
        <v>180</v>
      </c>
      <c r="AB337" s="8">
        <v>330</v>
      </c>
      <c r="AC337" s="8">
        <v>292</v>
      </c>
      <c r="AD337" s="8">
        <v>297</v>
      </c>
      <c r="AE337" s="8">
        <v>294</v>
      </c>
      <c r="AF337" s="8">
        <v>108</v>
      </c>
      <c r="AG337" s="8">
        <v>311</v>
      </c>
      <c r="AH337" s="8">
        <v>99</v>
      </c>
      <c r="AI337" s="8">
        <v>240</v>
      </c>
      <c r="AJ337" s="8">
        <v>352</v>
      </c>
      <c r="AK337" s="8">
        <v>87</v>
      </c>
      <c r="AL337" s="8">
        <v>119</v>
      </c>
      <c r="AM337" s="8">
        <v>284</v>
      </c>
      <c r="AN337" s="8">
        <v>204</v>
      </c>
      <c r="AO337" s="8">
        <v>255</v>
      </c>
      <c r="AP337" s="8">
        <v>178</v>
      </c>
      <c r="AQ337" s="8">
        <v>129</v>
      </c>
      <c r="AR337" s="8">
        <v>90</v>
      </c>
      <c r="AS337" s="8">
        <v>264</v>
      </c>
      <c r="AT337" s="8">
        <v>237</v>
      </c>
      <c r="AU337" s="8">
        <v>231</v>
      </c>
      <c r="AV337" s="8">
        <v>277</v>
      </c>
      <c r="AW337" s="8">
        <v>291</v>
      </c>
      <c r="AX337" s="8">
        <v>137</v>
      </c>
      <c r="AY337" s="8">
        <v>261</v>
      </c>
      <c r="AZ337" s="8">
        <v>251</v>
      </c>
      <c r="BA337" s="8">
        <v>130</v>
      </c>
      <c r="BB337" s="8">
        <v>119</v>
      </c>
      <c r="BC337" s="8">
        <v>146</v>
      </c>
      <c r="BD337" s="8">
        <v>99</v>
      </c>
      <c r="BE337" s="8">
        <v>307</v>
      </c>
      <c r="BF337" s="8">
        <v>224</v>
      </c>
      <c r="BG337" s="8">
        <v>390</v>
      </c>
      <c r="BH337" s="8">
        <v>224</v>
      </c>
      <c r="BI337" s="8">
        <v>99</v>
      </c>
      <c r="BJ337" s="8">
        <v>79</v>
      </c>
      <c r="BK337" s="8">
        <v>215</v>
      </c>
      <c r="BL337" s="8">
        <v>343</v>
      </c>
      <c r="BM337" s="8">
        <v>299</v>
      </c>
      <c r="BN337" s="8">
        <v>229</v>
      </c>
      <c r="BO337" s="8">
        <v>269</v>
      </c>
      <c r="BP337" s="8">
        <v>228</v>
      </c>
      <c r="BQ337" s="8">
        <v>41</v>
      </c>
      <c r="BR337" s="8">
        <v>234</v>
      </c>
      <c r="BS337" s="8">
        <v>324</v>
      </c>
      <c r="BT337" s="8">
        <v>92</v>
      </c>
      <c r="BU337" s="8">
        <v>97</v>
      </c>
      <c r="BV337" s="8">
        <v>103</v>
      </c>
      <c r="BW337" s="8">
        <v>280</v>
      </c>
      <c r="BX337" s="8">
        <v>260</v>
      </c>
      <c r="BY337" s="8">
        <v>126</v>
      </c>
      <c r="BZ337" s="8">
        <v>230</v>
      </c>
      <c r="CA337" s="8">
        <v>127</v>
      </c>
      <c r="CB337" s="8">
        <v>67</v>
      </c>
      <c r="CC337" s="8">
        <v>190</v>
      </c>
      <c r="CD337" s="8">
        <v>201</v>
      </c>
      <c r="CE337" s="8">
        <v>283</v>
      </c>
      <c r="CF337" s="8">
        <v>252</v>
      </c>
      <c r="CG337" s="8">
        <v>279</v>
      </c>
      <c r="CH337" s="8">
        <v>85</v>
      </c>
      <c r="CJ337" s="9"/>
      <c r="CK337" s="9"/>
      <c r="CL337" s="9"/>
      <c r="CM337" s="9"/>
      <c r="CN337" s="9"/>
      <c r="CO337" s="9"/>
      <c r="CP337" s="9"/>
      <c r="CQ337" s="9"/>
      <c r="CR337" s="9"/>
      <c r="CS337" s="9"/>
      <c r="CT337" s="9"/>
      <c r="CU337" s="9"/>
      <c r="CV337" s="9"/>
      <c r="CW337" s="9"/>
      <c r="CX337" s="9"/>
      <c r="CY337" s="9"/>
      <c r="CZ337" s="9"/>
      <c r="DA337" s="9"/>
      <c r="DB337" s="9"/>
      <c r="DC337" s="9"/>
      <c r="DD337" s="9"/>
      <c r="DE337" s="9"/>
      <c r="DF337" s="9"/>
      <c r="DG337" s="9"/>
      <c r="DH337" s="9"/>
      <c r="DI337" s="9"/>
      <c r="DJ337" s="9"/>
      <c r="DK337" s="9"/>
      <c r="DL337" s="9"/>
      <c r="DM337" s="9"/>
      <c r="DN337" s="9"/>
      <c r="DO337" s="9"/>
      <c r="DP337" s="9"/>
      <c r="DQ337" s="9"/>
      <c r="DR337" s="9"/>
      <c r="DS337" s="9"/>
      <c r="DT337" s="9"/>
      <c r="DU337" s="9"/>
      <c r="DV337" s="9"/>
      <c r="DW337" s="9"/>
      <c r="DX337" s="9"/>
      <c r="DY337" s="9"/>
      <c r="DZ337" s="9"/>
      <c r="EA337" s="9"/>
      <c r="EB337" s="9"/>
      <c r="EC337" s="9"/>
      <c r="ED337" s="9"/>
      <c r="EE337" s="9"/>
      <c r="EF337" s="9"/>
      <c r="EG337" s="9"/>
      <c r="EH337" s="9"/>
      <c r="EI337" s="9"/>
      <c r="EJ337" s="9"/>
      <c r="EK337" s="9"/>
      <c r="EL337" s="9"/>
      <c r="EM337" s="9"/>
      <c r="EN337" s="9"/>
      <c r="EO337" s="9"/>
      <c r="EP337" s="9"/>
      <c r="EQ337" s="9"/>
      <c r="ER337" s="9"/>
      <c r="ES337" s="9"/>
      <c r="ET337" s="9"/>
      <c r="EU337" s="9"/>
      <c r="EV337" s="9"/>
      <c r="EW337" s="9"/>
      <c r="EX337" s="9"/>
      <c r="EY337" s="9"/>
      <c r="EZ337" s="9"/>
      <c r="FA337" s="9"/>
      <c r="FB337" s="9"/>
      <c r="FC337" s="9"/>
      <c r="FD337" s="9"/>
      <c r="FE337" s="9"/>
      <c r="FF337" s="9"/>
      <c r="FG337" s="9"/>
      <c r="FH337" s="9"/>
      <c r="FI337" s="9"/>
    </row>
    <row r="338" spans="1:165" x14ac:dyDescent="0.2">
      <c r="A338" s="1" t="s">
        <v>904</v>
      </c>
      <c r="B338" s="1" t="s">
        <v>905</v>
      </c>
      <c r="C338" s="1" t="s">
        <v>280</v>
      </c>
      <c r="D338" s="1" t="str">
        <f>HYPERLINK("http://eros.fiehnlab.ucdavis.edu:8080/binbase-compound/bin/show/300148?db=rtx5","300148")</f>
        <v>300148</v>
      </c>
      <c r="E338" s="1" t="s">
        <v>906</v>
      </c>
      <c r="F338" s="1" t="s">
        <v>184</v>
      </c>
      <c r="G338" s="1" t="s">
        <v>184</v>
      </c>
      <c r="H338" s="1"/>
      <c r="I338" s="8">
        <v>401</v>
      </c>
      <c r="J338" s="8">
        <v>328</v>
      </c>
      <c r="K338" s="8">
        <v>412</v>
      </c>
      <c r="L338" s="8">
        <v>278</v>
      </c>
      <c r="M338" s="8">
        <v>517</v>
      </c>
      <c r="N338" s="8">
        <v>554</v>
      </c>
      <c r="O338" s="8">
        <v>328</v>
      </c>
      <c r="P338" s="8">
        <v>385</v>
      </c>
      <c r="Q338" s="8">
        <v>513</v>
      </c>
      <c r="R338" s="8">
        <v>469</v>
      </c>
      <c r="S338" s="8">
        <v>523</v>
      </c>
      <c r="T338" s="8">
        <v>440</v>
      </c>
      <c r="U338" s="8">
        <v>339</v>
      </c>
      <c r="V338" s="8">
        <v>373</v>
      </c>
      <c r="W338" s="8">
        <v>94</v>
      </c>
      <c r="X338" s="8">
        <v>266</v>
      </c>
      <c r="Y338" s="8">
        <v>335</v>
      </c>
      <c r="Z338" s="8">
        <v>587</v>
      </c>
      <c r="AA338" s="8">
        <v>239</v>
      </c>
      <c r="AB338" s="8">
        <v>298</v>
      </c>
      <c r="AC338" s="8">
        <v>272</v>
      </c>
      <c r="AD338" s="8">
        <v>315</v>
      </c>
      <c r="AE338" s="8">
        <v>304</v>
      </c>
      <c r="AF338" s="8">
        <v>334</v>
      </c>
      <c r="AG338" s="8">
        <v>286</v>
      </c>
      <c r="AH338" s="8">
        <v>296</v>
      </c>
      <c r="AI338" s="8">
        <v>312</v>
      </c>
      <c r="AJ338" s="8">
        <v>3017</v>
      </c>
      <c r="AK338" s="8">
        <v>399</v>
      </c>
      <c r="AL338" s="8">
        <v>669</v>
      </c>
      <c r="AM338" s="8">
        <v>431</v>
      </c>
      <c r="AN338" s="8">
        <v>366</v>
      </c>
      <c r="AO338" s="8">
        <v>423</v>
      </c>
      <c r="AP338" s="8">
        <v>546</v>
      </c>
      <c r="AQ338" s="8">
        <v>482</v>
      </c>
      <c r="AR338" s="8">
        <v>370</v>
      </c>
      <c r="AS338" s="8">
        <v>425</v>
      </c>
      <c r="AT338" s="8">
        <v>421</v>
      </c>
      <c r="AU338" s="8">
        <v>327</v>
      </c>
      <c r="AV338" s="8">
        <v>268</v>
      </c>
      <c r="AW338" s="8">
        <v>164</v>
      </c>
      <c r="AX338" s="8">
        <v>386</v>
      </c>
      <c r="AY338" s="8">
        <v>367</v>
      </c>
      <c r="AZ338" s="8">
        <v>499</v>
      </c>
      <c r="BA338" s="8">
        <v>552</v>
      </c>
      <c r="BB338" s="8">
        <v>694</v>
      </c>
      <c r="BC338" s="8">
        <v>542</v>
      </c>
      <c r="BD338" s="8">
        <v>215</v>
      </c>
      <c r="BE338" s="8">
        <v>355</v>
      </c>
      <c r="BF338" s="8">
        <v>333</v>
      </c>
      <c r="BG338" s="8">
        <v>453</v>
      </c>
      <c r="BH338" s="8">
        <v>293</v>
      </c>
      <c r="BI338" s="8">
        <v>392</v>
      </c>
      <c r="BJ338" s="8">
        <v>389</v>
      </c>
      <c r="BK338" s="8">
        <v>535</v>
      </c>
      <c r="BL338" s="8">
        <v>1009</v>
      </c>
      <c r="BM338" s="8">
        <v>918</v>
      </c>
      <c r="BN338" s="8">
        <v>1380</v>
      </c>
      <c r="BO338" s="8">
        <v>1661</v>
      </c>
      <c r="BP338" s="8">
        <v>1868</v>
      </c>
      <c r="BQ338" s="8">
        <v>841</v>
      </c>
      <c r="BR338" s="8">
        <v>438</v>
      </c>
      <c r="BS338" s="8">
        <v>405</v>
      </c>
      <c r="BT338" s="8">
        <v>963</v>
      </c>
      <c r="BU338" s="8">
        <v>998</v>
      </c>
      <c r="BV338" s="8">
        <v>1913</v>
      </c>
      <c r="BW338" s="8">
        <v>484</v>
      </c>
      <c r="BX338" s="8">
        <v>458</v>
      </c>
      <c r="BY338" s="8">
        <v>392</v>
      </c>
      <c r="BZ338" s="8">
        <v>735</v>
      </c>
      <c r="CA338" s="8">
        <v>766</v>
      </c>
      <c r="CB338" s="8">
        <v>538</v>
      </c>
      <c r="CC338" s="8">
        <v>492</v>
      </c>
      <c r="CD338" s="8">
        <v>307</v>
      </c>
      <c r="CE338" s="8">
        <v>385</v>
      </c>
      <c r="CF338" s="8">
        <v>450</v>
      </c>
      <c r="CG338" s="8">
        <v>1120</v>
      </c>
      <c r="CH338" s="8">
        <v>1289</v>
      </c>
      <c r="CJ338" s="9"/>
      <c r="CK338" s="9"/>
      <c r="CL338" s="9"/>
      <c r="CM338" s="9"/>
      <c r="CN338" s="9"/>
      <c r="CO338" s="9"/>
      <c r="CP338" s="9"/>
      <c r="CQ338" s="9"/>
      <c r="CR338" s="9"/>
      <c r="CS338" s="9"/>
      <c r="CT338" s="9"/>
      <c r="CU338" s="9"/>
      <c r="CV338" s="9"/>
      <c r="CW338" s="9"/>
      <c r="CX338" s="9"/>
      <c r="CY338" s="9"/>
      <c r="CZ338" s="9"/>
      <c r="DA338" s="9"/>
      <c r="DB338" s="9"/>
      <c r="DC338" s="9"/>
      <c r="DD338" s="9"/>
      <c r="DE338" s="9"/>
      <c r="DF338" s="9"/>
      <c r="DG338" s="9"/>
      <c r="DH338" s="9"/>
      <c r="DI338" s="9"/>
      <c r="DJ338" s="9"/>
      <c r="DK338" s="9"/>
      <c r="DL338" s="9"/>
      <c r="DM338" s="9"/>
      <c r="DN338" s="9"/>
      <c r="DO338" s="9"/>
      <c r="DP338" s="9"/>
      <c r="DQ338" s="9"/>
      <c r="DR338" s="9"/>
      <c r="DS338" s="9"/>
      <c r="DT338" s="9"/>
      <c r="DU338" s="9"/>
      <c r="DV338" s="9"/>
      <c r="DW338" s="9"/>
      <c r="DX338" s="9"/>
      <c r="DY338" s="9"/>
      <c r="DZ338" s="9"/>
      <c r="EA338" s="9"/>
      <c r="EB338" s="9"/>
      <c r="EC338" s="9"/>
      <c r="ED338" s="9"/>
      <c r="EE338" s="9"/>
      <c r="EF338" s="9"/>
      <c r="EG338" s="9"/>
      <c r="EH338" s="9"/>
      <c r="EI338" s="9"/>
      <c r="EJ338" s="9"/>
      <c r="EK338" s="9"/>
      <c r="EL338" s="9"/>
      <c r="EM338" s="9"/>
      <c r="EN338" s="9"/>
      <c r="EO338" s="9"/>
      <c r="EP338" s="9"/>
      <c r="EQ338" s="9"/>
      <c r="ER338" s="9"/>
      <c r="ES338" s="9"/>
      <c r="ET338" s="9"/>
      <c r="EU338" s="9"/>
      <c r="EV338" s="9"/>
      <c r="EW338" s="9"/>
      <c r="EX338" s="9"/>
      <c r="EY338" s="9"/>
      <c r="EZ338" s="9"/>
      <c r="FA338" s="9"/>
      <c r="FB338" s="9"/>
      <c r="FC338" s="9"/>
      <c r="FD338" s="9"/>
      <c r="FE338" s="9"/>
      <c r="FF338" s="9"/>
      <c r="FG338" s="9"/>
      <c r="FH338" s="9"/>
      <c r="FI338" s="9"/>
    </row>
    <row r="339" spans="1:165" x14ac:dyDescent="0.2">
      <c r="A339" s="1" t="s">
        <v>827</v>
      </c>
      <c r="B339" s="1" t="s">
        <v>828</v>
      </c>
      <c r="C339" s="1" t="s">
        <v>339</v>
      </c>
      <c r="D339" s="1" t="str">
        <f>HYPERLINK("http://eros.fiehnlab.ucdavis.edu:8080/binbase-compound/bin/show/349887?db=rtx5","349887")</f>
        <v>349887</v>
      </c>
      <c r="E339" s="1" t="s">
        <v>829</v>
      </c>
      <c r="F339" s="1" t="s">
        <v>184</v>
      </c>
      <c r="G339" s="1" t="s">
        <v>184</v>
      </c>
      <c r="H339" s="1"/>
      <c r="I339" s="8">
        <v>7307</v>
      </c>
      <c r="J339" s="8">
        <v>6972</v>
      </c>
      <c r="K339" s="8">
        <v>7047</v>
      </c>
      <c r="L339" s="8">
        <v>7315</v>
      </c>
      <c r="M339" s="8">
        <v>7402</v>
      </c>
      <c r="N339" s="8">
        <v>7246</v>
      </c>
      <c r="O339" s="8">
        <v>110</v>
      </c>
      <c r="P339" s="8">
        <v>88</v>
      </c>
      <c r="Q339" s="8">
        <v>197</v>
      </c>
      <c r="R339" s="8">
        <v>248</v>
      </c>
      <c r="S339" s="8">
        <v>292</v>
      </c>
      <c r="T339" s="8">
        <v>178</v>
      </c>
      <c r="U339" s="8">
        <v>120</v>
      </c>
      <c r="V339" s="8">
        <v>123</v>
      </c>
      <c r="W339" s="8">
        <v>100</v>
      </c>
      <c r="X339" s="8">
        <v>224</v>
      </c>
      <c r="Y339" s="8">
        <v>143</v>
      </c>
      <c r="Z339" s="8">
        <v>164</v>
      </c>
      <c r="AA339" s="8">
        <v>147</v>
      </c>
      <c r="AB339" s="8">
        <v>91</v>
      </c>
      <c r="AC339" s="8">
        <v>81</v>
      </c>
      <c r="AD339" s="8">
        <v>124</v>
      </c>
      <c r="AE339" s="8">
        <v>89</v>
      </c>
      <c r="AF339" s="8">
        <v>186</v>
      </c>
      <c r="AG339" s="8">
        <v>134</v>
      </c>
      <c r="AH339" s="8">
        <v>96</v>
      </c>
      <c r="AI339" s="8">
        <v>100</v>
      </c>
      <c r="AJ339" s="8">
        <v>130</v>
      </c>
      <c r="AK339" s="8">
        <v>128</v>
      </c>
      <c r="AL339" s="8">
        <v>236</v>
      </c>
      <c r="AM339" s="8">
        <v>138</v>
      </c>
      <c r="AN339" s="8">
        <v>133</v>
      </c>
      <c r="AO339" s="8">
        <v>101</v>
      </c>
      <c r="AP339" s="8">
        <v>138</v>
      </c>
      <c r="AQ339" s="8">
        <v>219</v>
      </c>
      <c r="AR339" s="8">
        <v>189</v>
      </c>
      <c r="AS339" s="8">
        <v>97</v>
      </c>
      <c r="AT339" s="8">
        <v>117</v>
      </c>
      <c r="AU339" s="8">
        <v>129</v>
      </c>
      <c r="AV339" s="8">
        <v>95</v>
      </c>
      <c r="AW339" s="8">
        <v>107</v>
      </c>
      <c r="AX339" s="8">
        <v>207</v>
      </c>
      <c r="AY339" s="8">
        <v>126</v>
      </c>
      <c r="AZ339" s="8">
        <v>126</v>
      </c>
      <c r="BA339" s="8">
        <v>205</v>
      </c>
      <c r="BB339" s="8">
        <v>204</v>
      </c>
      <c r="BC339" s="8">
        <v>233</v>
      </c>
      <c r="BD339" s="8">
        <v>296</v>
      </c>
      <c r="BE339" s="8">
        <v>110</v>
      </c>
      <c r="BF339" s="8">
        <v>124</v>
      </c>
      <c r="BG339" s="8">
        <v>113</v>
      </c>
      <c r="BH339" s="8">
        <v>68</v>
      </c>
      <c r="BI339" s="8">
        <v>179</v>
      </c>
      <c r="BJ339" s="8">
        <v>168</v>
      </c>
      <c r="BK339" s="8">
        <v>111</v>
      </c>
      <c r="BL339" s="8">
        <v>117</v>
      </c>
      <c r="BM339" s="8">
        <v>107</v>
      </c>
      <c r="BN339" s="8">
        <v>125</v>
      </c>
      <c r="BO339" s="8">
        <v>126</v>
      </c>
      <c r="BP339" s="8">
        <v>94</v>
      </c>
      <c r="BQ339" s="8">
        <v>126</v>
      </c>
      <c r="BR339" s="8">
        <v>147</v>
      </c>
      <c r="BS339" s="8">
        <v>110</v>
      </c>
      <c r="BT339" s="8">
        <v>122</v>
      </c>
      <c r="BU339" s="8">
        <v>203</v>
      </c>
      <c r="BV339" s="8">
        <v>185</v>
      </c>
      <c r="BW339" s="8">
        <v>104</v>
      </c>
      <c r="BX339" s="8">
        <v>96</v>
      </c>
      <c r="BY339" s="8">
        <v>73</v>
      </c>
      <c r="BZ339" s="8">
        <v>115</v>
      </c>
      <c r="CA339" s="8">
        <v>239</v>
      </c>
      <c r="CB339" s="8">
        <v>187</v>
      </c>
      <c r="CC339" s="8">
        <v>99</v>
      </c>
      <c r="CD339" s="8">
        <v>106</v>
      </c>
      <c r="CE339" s="8">
        <v>83</v>
      </c>
      <c r="CF339" s="8">
        <v>94</v>
      </c>
      <c r="CG339" s="8">
        <v>90</v>
      </c>
      <c r="CH339" s="8">
        <v>135</v>
      </c>
      <c r="CJ339" s="9"/>
      <c r="CK339" s="9"/>
      <c r="CL339" s="9"/>
      <c r="CM339" s="9"/>
      <c r="CN339" s="9"/>
      <c r="CO339" s="9"/>
      <c r="CP339" s="9"/>
      <c r="CQ339" s="9"/>
      <c r="CR339" s="9"/>
      <c r="CS339" s="9"/>
      <c r="CT339" s="9"/>
      <c r="CU339" s="9"/>
      <c r="CV339" s="9"/>
      <c r="CW339" s="9"/>
      <c r="CX339" s="9"/>
      <c r="CY339" s="9"/>
      <c r="CZ339" s="9"/>
      <c r="DA339" s="9"/>
      <c r="DB339" s="9"/>
      <c r="DC339" s="9"/>
      <c r="DD339" s="9"/>
      <c r="DE339" s="9"/>
      <c r="DF339" s="9"/>
      <c r="DG339" s="9"/>
      <c r="DH339" s="9"/>
      <c r="DI339" s="9"/>
      <c r="DJ339" s="9"/>
      <c r="DK339" s="9"/>
      <c r="DL339" s="9"/>
      <c r="DM339" s="9"/>
      <c r="DN339" s="9"/>
      <c r="DO339" s="9"/>
      <c r="DP339" s="9"/>
      <c r="DQ339" s="9"/>
      <c r="DR339" s="9"/>
      <c r="DS339" s="9"/>
      <c r="DT339" s="9"/>
      <c r="DU339" s="9"/>
      <c r="DV339" s="9"/>
      <c r="DW339" s="9"/>
      <c r="DX339" s="9"/>
      <c r="DY339" s="9"/>
      <c r="DZ339" s="9"/>
      <c r="EA339" s="9"/>
      <c r="EB339" s="9"/>
      <c r="EC339" s="9"/>
      <c r="ED339" s="9"/>
      <c r="EE339" s="9"/>
      <c r="EF339" s="9"/>
      <c r="EG339" s="9"/>
      <c r="EH339" s="9"/>
      <c r="EI339" s="9"/>
      <c r="EJ339" s="9"/>
      <c r="EK339" s="9"/>
      <c r="EL339" s="9"/>
      <c r="EM339" s="9"/>
      <c r="EN339" s="9"/>
      <c r="EO339" s="9"/>
      <c r="EP339" s="9"/>
      <c r="EQ339" s="9"/>
      <c r="ER339" s="9"/>
      <c r="ES339" s="9"/>
      <c r="ET339" s="9"/>
      <c r="EU339" s="9"/>
      <c r="EV339" s="9"/>
      <c r="EW339" s="9"/>
      <c r="EX339" s="9"/>
      <c r="EY339" s="9"/>
      <c r="EZ339" s="9"/>
      <c r="FA339" s="9"/>
      <c r="FB339" s="9"/>
      <c r="FC339" s="9"/>
      <c r="FD339" s="9"/>
      <c r="FE339" s="9"/>
      <c r="FF339" s="9"/>
      <c r="FG339" s="9"/>
      <c r="FH339" s="9"/>
      <c r="FI339" s="9"/>
    </row>
    <row r="340" spans="1:165" x14ac:dyDescent="0.2">
      <c r="A340" s="1" t="s">
        <v>740</v>
      </c>
      <c r="B340" s="1" t="s">
        <v>741</v>
      </c>
      <c r="C340" s="1" t="s">
        <v>523</v>
      </c>
      <c r="D340" s="1" t="str">
        <f>HYPERLINK("http://eros.fiehnlab.ucdavis.edu:8080/binbase-compound/bin/show/368044?db=rtx5","368044")</f>
        <v>368044</v>
      </c>
      <c r="E340" s="1" t="s">
        <v>742</v>
      </c>
      <c r="F340" s="1" t="s">
        <v>184</v>
      </c>
      <c r="G340" s="1" t="s">
        <v>184</v>
      </c>
      <c r="H340" s="1"/>
      <c r="I340" s="8">
        <v>189</v>
      </c>
      <c r="J340" s="8">
        <v>214</v>
      </c>
      <c r="K340" s="8">
        <v>214</v>
      </c>
      <c r="L340" s="8">
        <v>129</v>
      </c>
      <c r="M340" s="8">
        <v>310</v>
      </c>
      <c r="N340" s="8">
        <v>452</v>
      </c>
      <c r="O340" s="8">
        <v>197</v>
      </c>
      <c r="P340" s="8">
        <v>191</v>
      </c>
      <c r="Q340" s="8">
        <v>205</v>
      </c>
      <c r="R340" s="8">
        <v>380</v>
      </c>
      <c r="S340" s="8">
        <v>352</v>
      </c>
      <c r="T340" s="8">
        <v>377</v>
      </c>
      <c r="U340" s="8">
        <v>132</v>
      </c>
      <c r="V340" s="8">
        <v>120</v>
      </c>
      <c r="W340" s="8">
        <v>166</v>
      </c>
      <c r="X340" s="8">
        <v>241</v>
      </c>
      <c r="Y340" s="8">
        <v>189</v>
      </c>
      <c r="Z340" s="8">
        <v>310</v>
      </c>
      <c r="AA340" s="8">
        <v>118</v>
      </c>
      <c r="AB340" s="8">
        <v>203</v>
      </c>
      <c r="AC340" s="8">
        <v>217</v>
      </c>
      <c r="AD340" s="8">
        <v>200</v>
      </c>
      <c r="AE340" s="8">
        <v>444</v>
      </c>
      <c r="AF340" s="8">
        <v>176</v>
      </c>
      <c r="AG340" s="8">
        <v>110</v>
      </c>
      <c r="AH340" s="8">
        <v>117</v>
      </c>
      <c r="AI340" s="8">
        <v>177</v>
      </c>
      <c r="AJ340" s="8">
        <v>216</v>
      </c>
      <c r="AK340" s="8">
        <v>156</v>
      </c>
      <c r="AL340" s="8">
        <v>423</v>
      </c>
      <c r="AM340" s="8">
        <v>254</v>
      </c>
      <c r="AN340" s="8">
        <v>162</v>
      </c>
      <c r="AO340" s="8">
        <v>188</v>
      </c>
      <c r="AP340" s="8">
        <v>321</v>
      </c>
      <c r="AQ340" s="8">
        <v>240</v>
      </c>
      <c r="AR340" s="8">
        <v>219</v>
      </c>
      <c r="AS340" s="8">
        <v>289</v>
      </c>
      <c r="AT340" s="8">
        <v>125</v>
      </c>
      <c r="AU340" s="8">
        <v>207</v>
      </c>
      <c r="AV340" s="8">
        <v>191</v>
      </c>
      <c r="AW340" s="8">
        <v>208</v>
      </c>
      <c r="AX340" s="8">
        <v>212</v>
      </c>
      <c r="AY340" s="8">
        <v>194</v>
      </c>
      <c r="AZ340" s="8">
        <v>428</v>
      </c>
      <c r="BA340" s="8">
        <v>282</v>
      </c>
      <c r="BB340" s="8">
        <v>224</v>
      </c>
      <c r="BC340" s="8">
        <v>242</v>
      </c>
      <c r="BD340" s="8">
        <v>350</v>
      </c>
      <c r="BE340" s="8">
        <v>181</v>
      </c>
      <c r="BF340" s="8">
        <v>119</v>
      </c>
      <c r="BG340" s="8">
        <v>276</v>
      </c>
      <c r="BH340" s="8">
        <v>143</v>
      </c>
      <c r="BI340" s="8">
        <v>204</v>
      </c>
      <c r="BJ340" s="8">
        <v>246</v>
      </c>
      <c r="BK340" s="8">
        <v>122</v>
      </c>
      <c r="BL340" s="8">
        <v>202</v>
      </c>
      <c r="BM340" s="8">
        <v>222</v>
      </c>
      <c r="BN340" s="8">
        <v>171</v>
      </c>
      <c r="BO340" s="8">
        <v>287</v>
      </c>
      <c r="BP340" s="8">
        <v>313</v>
      </c>
      <c r="BQ340" s="8">
        <v>249</v>
      </c>
      <c r="BR340" s="8">
        <v>170</v>
      </c>
      <c r="BS340" s="8">
        <v>132</v>
      </c>
      <c r="BT340" s="8">
        <v>196</v>
      </c>
      <c r="BU340" s="8">
        <v>263</v>
      </c>
      <c r="BV340" s="8">
        <v>322</v>
      </c>
      <c r="BW340" s="8">
        <v>183</v>
      </c>
      <c r="BX340" s="8">
        <v>153</v>
      </c>
      <c r="BY340" s="8">
        <v>128</v>
      </c>
      <c r="BZ340" s="8">
        <v>177</v>
      </c>
      <c r="CA340" s="8">
        <v>174</v>
      </c>
      <c r="CB340" s="8">
        <v>229</v>
      </c>
      <c r="CC340" s="8">
        <v>81</v>
      </c>
      <c r="CD340" s="8">
        <v>118</v>
      </c>
      <c r="CE340" s="8">
        <v>107</v>
      </c>
      <c r="CF340" s="8">
        <v>157</v>
      </c>
      <c r="CG340" s="8">
        <v>279</v>
      </c>
      <c r="CH340" s="8">
        <v>192</v>
      </c>
      <c r="CJ340" s="9"/>
      <c r="CK340" s="9"/>
      <c r="CL340" s="9"/>
      <c r="CM340" s="9"/>
      <c r="CN340" s="9"/>
      <c r="CO340" s="9"/>
      <c r="CP340" s="9"/>
      <c r="CQ340" s="9"/>
      <c r="CR340" s="9"/>
      <c r="CS340" s="9"/>
      <c r="CT340" s="9"/>
      <c r="CU340" s="9"/>
      <c r="CV340" s="9"/>
      <c r="CW340" s="9"/>
      <c r="CX340" s="9"/>
      <c r="CY340" s="9"/>
      <c r="CZ340" s="9"/>
      <c r="DA340" s="9"/>
      <c r="DB340" s="9"/>
      <c r="DC340" s="9"/>
      <c r="DD340" s="9"/>
      <c r="DE340" s="9"/>
      <c r="DF340" s="9"/>
      <c r="DG340" s="9"/>
      <c r="DH340" s="9"/>
      <c r="DI340" s="9"/>
      <c r="DJ340" s="9"/>
      <c r="DK340" s="9"/>
      <c r="DL340" s="9"/>
      <c r="DM340" s="9"/>
      <c r="DN340" s="9"/>
      <c r="DO340" s="9"/>
      <c r="DP340" s="9"/>
      <c r="DQ340" s="9"/>
      <c r="DR340" s="9"/>
      <c r="DS340" s="9"/>
      <c r="DT340" s="9"/>
      <c r="DU340" s="9"/>
      <c r="DV340" s="9"/>
      <c r="DW340" s="9"/>
      <c r="DX340" s="9"/>
      <c r="DY340" s="9"/>
      <c r="DZ340" s="9"/>
      <c r="EA340" s="9"/>
      <c r="EB340" s="9"/>
      <c r="EC340" s="9"/>
      <c r="ED340" s="9"/>
      <c r="EE340" s="9"/>
      <c r="EF340" s="9"/>
      <c r="EG340" s="9"/>
      <c r="EH340" s="9"/>
      <c r="EI340" s="9"/>
      <c r="EJ340" s="9"/>
      <c r="EK340" s="9"/>
      <c r="EL340" s="9"/>
      <c r="EM340" s="9"/>
      <c r="EN340" s="9"/>
      <c r="EO340" s="9"/>
      <c r="EP340" s="9"/>
      <c r="EQ340" s="9"/>
      <c r="ER340" s="9"/>
      <c r="ES340" s="9"/>
      <c r="ET340" s="9"/>
      <c r="EU340" s="9"/>
      <c r="EV340" s="9"/>
      <c r="EW340" s="9"/>
      <c r="EX340" s="9"/>
      <c r="EY340" s="9"/>
      <c r="EZ340" s="9"/>
      <c r="FA340" s="9"/>
      <c r="FB340" s="9"/>
      <c r="FC340" s="9"/>
      <c r="FD340" s="9"/>
      <c r="FE340" s="9"/>
      <c r="FF340" s="9"/>
      <c r="FG340" s="9"/>
      <c r="FH340" s="9"/>
      <c r="FI340" s="9"/>
    </row>
    <row r="341" spans="1:165" x14ac:dyDescent="0.2">
      <c r="A341" s="1" t="s">
        <v>844</v>
      </c>
      <c r="B341" s="1" t="s">
        <v>845</v>
      </c>
      <c r="C341" s="1" t="s">
        <v>339</v>
      </c>
      <c r="D341" s="1" t="str">
        <f>HYPERLINK("http://eros.fiehnlab.ucdavis.edu:8080/binbase-compound/bin/show/326867?db=rtx5","326867")</f>
        <v>326867</v>
      </c>
      <c r="E341" s="1" t="s">
        <v>846</v>
      </c>
      <c r="F341" s="1" t="s">
        <v>184</v>
      </c>
      <c r="G341" s="1" t="s">
        <v>184</v>
      </c>
      <c r="H341" s="1"/>
      <c r="I341" s="8">
        <v>175</v>
      </c>
      <c r="J341" s="8">
        <v>135</v>
      </c>
      <c r="K341" s="8">
        <v>126</v>
      </c>
      <c r="L341" s="8">
        <v>139</v>
      </c>
      <c r="M341" s="8">
        <v>151</v>
      </c>
      <c r="N341" s="8">
        <v>131</v>
      </c>
      <c r="O341" s="8">
        <v>173</v>
      </c>
      <c r="P341" s="8">
        <v>177</v>
      </c>
      <c r="Q341" s="8">
        <v>141</v>
      </c>
      <c r="R341" s="8">
        <v>512</v>
      </c>
      <c r="S341" s="8">
        <v>213</v>
      </c>
      <c r="T341" s="8">
        <v>146</v>
      </c>
      <c r="U341" s="8">
        <v>208</v>
      </c>
      <c r="V341" s="8">
        <v>150</v>
      </c>
      <c r="W341" s="8">
        <v>183</v>
      </c>
      <c r="X341" s="8">
        <v>151</v>
      </c>
      <c r="Y341" s="8">
        <v>111</v>
      </c>
      <c r="Z341" s="8">
        <v>157</v>
      </c>
      <c r="AA341" s="8">
        <v>133</v>
      </c>
      <c r="AB341" s="8">
        <v>148</v>
      </c>
      <c r="AC341" s="8">
        <v>175</v>
      </c>
      <c r="AD341" s="8">
        <v>98</v>
      </c>
      <c r="AE341" s="8">
        <v>170</v>
      </c>
      <c r="AF341" s="8">
        <v>220</v>
      </c>
      <c r="AG341" s="8">
        <v>169</v>
      </c>
      <c r="AH341" s="8">
        <v>153</v>
      </c>
      <c r="AI341" s="8">
        <v>208</v>
      </c>
      <c r="AJ341" s="8">
        <v>173</v>
      </c>
      <c r="AK341" s="8">
        <v>123</v>
      </c>
      <c r="AL341" s="8">
        <v>214</v>
      </c>
      <c r="AM341" s="8">
        <v>173</v>
      </c>
      <c r="AN341" s="8">
        <v>152</v>
      </c>
      <c r="AO341" s="8">
        <v>141</v>
      </c>
      <c r="AP341" s="8">
        <v>150</v>
      </c>
      <c r="AQ341" s="8">
        <v>143</v>
      </c>
      <c r="AR341" s="8">
        <v>182</v>
      </c>
      <c r="AS341" s="8">
        <v>162</v>
      </c>
      <c r="AT341" s="8">
        <v>133</v>
      </c>
      <c r="AU341" s="8">
        <v>160</v>
      </c>
      <c r="AV341" s="8">
        <v>162</v>
      </c>
      <c r="AW341" s="8">
        <v>148</v>
      </c>
      <c r="AX341" s="8">
        <v>131</v>
      </c>
      <c r="AY341" s="8">
        <v>152</v>
      </c>
      <c r="AZ341" s="8">
        <v>129</v>
      </c>
      <c r="BA341" s="8">
        <v>134</v>
      </c>
      <c r="BB341" s="8">
        <v>154</v>
      </c>
      <c r="BC341" s="8">
        <v>108</v>
      </c>
      <c r="BD341" s="8">
        <v>186</v>
      </c>
      <c r="BE341" s="8">
        <v>287</v>
      </c>
      <c r="BF341" s="8">
        <v>134</v>
      </c>
      <c r="BG341" s="8">
        <v>223</v>
      </c>
      <c r="BH341" s="8">
        <v>148</v>
      </c>
      <c r="BI341" s="8">
        <v>140</v>
      </c>
      <c r="BJ341" s="8">
        <v>127</v>
      </c>
      <c r="BK341" s="8">
        <v>219</v>
      </c>
      <c r="BL341" s="8">
        <v>169</v>
      </c>
      <c r="BM341" s="8">
        <v>212</v>
      </c>
      <c r="BN341" s="8">
        <v>135</v>
      </c>
      <c r="BO341" s="8">
        <v>204</v>
      </c>
      <c r="BP341" s="8">
        <v>173</v>
      </c>
      <c r="BQ341" s="8">
        <v>190</v>
      </c>
      <c r="BR341" s="8">
        <v>173</v>
      </c>
      <c r="BS341" s="8">
        <v>204</v>
      </c>
      <c r="BT341" s="8">
        <v>144</v>
      </c>
      <c r="BU341" s="8">
        <v>156</v>
      </c>
      <c r="BV341" s="8">
        <v>164</v>
      </c>
      <c r="BW341" s="8">
        <v>180</v>
      </c>
      <c r="BX341" s="8">
        <v>157</v>
      </c>
      <c r="BY341" s="8">
        <v>169</v>
      </c>
      <c r="BZ341" s="8">
        <v>131</v>
      </c>
      <c r="CA341" s="8">
        <v>156</v>
      </c>
      <c r="CB341" s="8">
        <v>120</v>
      </c>
      <c r="CC341" s="8">
        <v>162</v>
      </c>
      <c r="CD341" s="8">
        <v>153</v>
      </c>
      <c r="CE341" s="8">
        <v>150</v>
      </c>
      <c r="CF341" s="8">
        <v>202</v>
      </c>
      <c r="CG341" s="8">
        <v>176</v>
      </c>
      <c r="CH341" s="8">
        <v>147</v>
      </c>
      <c r="CJ341" s="9"/>
      <c r="CK341" s="9"/>
      <c r="CL341" s="9"/>
      <c r="CM341" s="9"/>
      <c r="CN341" s="9"/>
      <c r="CO341" s="9"/>
      <c r="CP341" s="9"/>
      <c r="CQ341" s="9"/>
      <c r="CR341" s="9"/>
      <c r="CS341" s="9"/>
      <c r="CT341" s="9"/>
      <c r="CU341" s="9"/>
      <c r="CV341" s="9"/>
      <c r="CW341" s="9"/>
      <c r="CX341" s="9"/>
      <c r="CY341" s="9"/>
      <c r="CZ341" s="9"/>
      <c r="DA341" s="9"/>
      <c r="DB341" s="9"/>
      <c r="DC341" s="9"/>
      <c r="DD341" s="9"/>
      <c r="DE341" s="9"/>
      <c r="DF341" s="9"/>
      <c r="DG341" s="9"/>
      <c r="DH341" s="9"/>
      <c r="DI341" s="9"/>
      <c r="DJ341" s="9"/>
      <c r="DK341" s="9"/>
      <c r="DL341" s="9"/>
      <c r="DM341" s="9"/>
      <c r="DN341" s="9"/>
      <c r="DO341" s="9"/>
      <c r="DP341" s="9"/>
      <c r="DQ341" s="9"/>
      <c r="DR341" s="9"/>
      <c r="DS341" s="9"/>
      <c r="DT341" s="9"/>
      <c r="DU341" s="9"/>
      <c r="DV341" s="9"/>
      <c r="DW341" s="9"/>
      <c r="DX341" s="9"/>
      <c r="DY341" s="9"/>
      <c r="DZ341" s="9"/>
      <c r="EA341" s="9"/>
      <c r="EB341" s="9"/>
      <c r="EC341" s="9"/>
      <c r="ED341" s="9"/>
      <c r="EE341" s="9"/>
      <c r="EF341" s="9"/>
      <c r="EG341" s="9"/>
      <c r="EH341" s="9"/>
      <c r="EI341" s="9"/>
      <c r="EJ341" s="9"/>
      <c r="EK341" s="9"/>
      <c r="EL341" s="9"/>
      <c r="EM341" s="9"/>
      <c r="EN341" s="9"/>
      <c r="EO341" s="9"/>
      <c r="EP341" s="9"/>
      <c r="EQ341" s="9"/>
      <c r="ER341" s="9"/>
      <c r="ES341" s="9"/>
      <c r="ET341" s="9"/>
      <c r="EU341" s="9"/>
      <c r="EV341" s="9"/>
      <c r="EW341" s="9"/>
      <c r="EX341" s="9"/>
      <c r="EY341" s="9"/>
      <c r="EZ341" s="9"/>
      <c r="FA341" s="9"/>
      <c r="FB341" s="9"/>
      <c r="FC341" s="9"/>
      <c r="FD341" s="9"/>
      <c r="FE341" s="9"/>
      <c r="FF341" s="9"/>
      <c r="FG341" s="9"/>
      <c r="FH341" s="9"/>
      <c r="FI341" s="9"/>
    </row>
    <row r="342" spans="1:165" x14ac:dyDescent="0.2">
      <c r="A342" s="1" t="s">
        <v>1193</v>
      </c>
      <c r="B342" s="1" t="s">
        <v>1194</v>
      </c>
      <c r="C342" s="1" t="s">
        <v>848</v>
      </c>
      <c r="D342" s="1" t="str">
        <f>HYPERLINK("http://eros.fiehnlab.ucdavis.edu:8080/binbase-compound/bin/show/225043?db=rtx5","225043")</f>
        <v>225043</v>
      </c>
      <c r="E342" s="1" t="s">
        <v>1195</v>
      </c>
      <c r="F342" s="1" t="s">
        <v>184</v>
      </c>
      <c r="G342" s="1" t="s">
        <v>184</v>
      </c>
      <c r="H342" s="1"/>
      <c r="I342" s="8">
        <v>4615</v>
      </c>
      <c r="J342" s="8">
        <v>2439</v>
      </c>
      <c r="K342" s="8">
        <v>2272</v>
      </c>
      <c r="L342" s="8">
        <v>2445</v>
      </c>
      <c r="M342" s="8">
        <v>3618</v>
      </c>
      <c r="N342" s="8">
        <v>2092</v>
      </c>
      <c r="O342" s="8">
        <v>2378</v>
      </c>
      <c r="P342" s="8">
        <v>3157</v>
      </c>
      <c r="Q342" s="8">
        <v>2085</v>
      </c>
      <c r="R342" s="8">
        <v>3751</v>
      </c>
      <c r="S342" s="8">
        <v>4391</v>
      </c>
      <c r="T342" s="8">
        <v>2110</v>
      </c>
      <c r="U342" s="8">
        <v>2841</v>
      </c>
      <c r="V342" s="8">
        <v>3103</v>
      </c>
      <c r="W342" s="8">
        <v>6995</v>
      </c>
      <c r="X342" s="8">
        <v>5662</v>
      </c>
      <c r="Y342" s="8">
        <v>4197</v>
      </c>
      <c r="Z342" s="8">
        <v>3118</v>
      </c>
      <c r="AA342" s="8">
        <v>2485</v>
      </c>
      <c r="AB342" s="8">
        <v>2922</v>
      </c>
      <c r="AC342" s="8">
        <v>2755</v>
      </c>
      <c r="AD342" s="8">
        <v>3082</v>
      </c>
      <c r="AE342" s="8">
        <v>9369</v>
      </c>
      <c r="AF342" s="8">
        <v>3035</v>
      </c>
      <c r="AG342" s="8">
        <v>2298</v>
      </c>
      <c r="AH342" s="8">
        <v>2329</v>
      </c>
      <c r="AI342" s="8">
        <v>2254</v>
      </c>
      <c r="AJ342" s="8">
        <v>9927</v>
      </c>
      <c r="AK342" s="8">
        <v>2879</v>
      </c>
      <c r="AL342" s="8">
        <v>3384</v>
      </c>
      <c r="AM342" s="8">
        <v>3962</v>
      </c>
      <c r="AN342" s="8">
        <v>4382</v>
      </c>
      <c r="AO342" s="8">
        <v>3751</v>
      </c>
      <c r="AP342" s="8">
        <v>12732</v>
      </c>
      <c r="AQ342" s="8">
        <v>3461</v>
      </c>
      <c r="AR342" s="8">
        <v>3127</v>
      </c>
      <c r="AS342" s="8">
        <v>2754</v>
      </c>
      <c r="AT342" s="8">
        <v>4902</v>
      </c>
      <c r="AU342" s="8">
        <v>2533</v>
      </c>
      <c r="AV342" s="8">
        <v>2261</v>
      </c>
      <c r="AW342" s="8">
        <v>10996</v>
      </c>
      <c r="AX342" s="8">
        <v>2445</v>
      </c>
      <c r="AY342" s="8">
        <v>3264</v>
      </c>
      <c r="AZ342" s="8">
        <v>7688</v>
      </c>
      <c r="BA342" s="8">
        <v>3564</v>
      </c>
      <c r="BB342" s="8">
        <v>4883</v>
      </c>
      <c r="BC342" s="8">
        <v>6845</v>
      </c>
      <c r="BD342" s="8">
        <v>3710</v>
      </c>
      <c r="BE342" s="8">
        <v>2961</v>
      </c>
      <c r="BF342" s="8">
        <v>2309</v>
      </c>
      <c r="BG342" s="8">
        <v>2473</v>
      </c>
      <c r="BH342" s="8">
        <v>1766</v>
      </c>
      <c r="BI342" s="8">
        <v>2701</v>
      </c>
      <c r="BJ342" s="8">
        <v>3169</v>
      </c>
      <c r="BK342" s="8">
        <v>4911</v>
      </c>
      <c r="BL342" s="8">
        <v>2739</v>
      </c>
      <c r="BM342" s="8">
        <v>3194</v>
      </c>
      <c r="BN342" s="8">
        <v>5685</v>
      </c>
      <c r="BO342" s="8">
        <v>7334</v>
      </c>
      <c r="BP342" s="8">
        <v>9118</v>
      </c>
      <c r="BQ342" s="8">
        <v>3046</v>
      </c>
      <c r="BR342" s="8">
        <v>2950</v>
      </c>
      <c r="BS342" s="8">
        <v>2476</v>
      </c>
      <c r="BT342" s="8">
        <v>3239</v>
      </c>
      <c r="BU342" s="8">
        <v>4204</v>
      </c>
      <c r="BV342" s="8">
        <v>3594</v>
      </c>
      <c r="BW342" s="8">
        <v>3129</v>
      </c>
      <c r="BX342" s="8">
        <v>3321</v>
      </c>
      <c r="BY342" s="8">
        <v>2232</v>
      </c>
      <c r="BZ342" s="8">
        <v>3035</v>
      </c>
      <c r="CA342" s="8">
        <v>5408</v>
      </c>
      <c r="CB342" s="8">
        <v>3175</v>
      </c>
      <c r="CC342" s="8">
        <v>2663</v>
      </c>
      <c r="CD342" s="8">
        <v>2058</v>
      </c>
      <c r="CE342" s="8">
        <v>3577</v>
      </c>
      <c r="CF342" s="8">
        <v>2272</v>
      </c>
      <c r="CG342" s="8">
        <v>6824</v>
      </c>
      <c r="CH342" s="8">
        <v>3584</v>
      </c>
      <c r="CJ342" s="9"/>
      <c r="CK342" s="9"/>
      <c r="CL342" s="9"/>
      <c r="CM342" s="9"/>
      <c r="CN342" s="9"/>
      <c r="CO342" s="9"/>
      <c r="CP342" s="9"/>
      <c r="CQ342" s="9"/>
      <c r="CR342" s="9"/>
      <c r="CS342" s="9"/>
      <c r="CT342" s="9"/>
      <c r="CU342" s="9"/>
      <c r="CV342" s="9"/>
      <c r="CW342" s="9"/>
      <c r="CX342" s="9"/>
      <c r="CY342" s="9"/>
      <c r="CZ342" s="9"/>
      <c r="DA342" s="9"/>
      <c r="DB342" s="9"/>
      <c r="DC342" s="9"/>
      <c r="DD342" s="9"/>
      <c r="DE342" s="9"/>
      <c r="DF342" s="9"/>
      <c r="DG342" s="9"/>
      <c r="DH342" s="9"/>
      <c r="DI342" s="9"/>
      <c r="DJ342" s="9"/>
      <c r="DK342" s="9"/>
      <c r="DL342" s="9"/>
      <c r="DM342" s="9"/>
      <c r="DN342" s="9"/>
      <c r="DO342" s="9"/>
      <c r="DP342" s="9"/>
      <c r="DQ342" s="9"/>
      <c r="DR342" s="9"/>
      <c r="DS342" s="9"/>
      <c r="DT342" s="9"/>
      <c r="DU342" s="9"/>
      <c r="DV342" s="9"/>
      <c r="DW342" s="9"/>
      <c r="DX342" s="9"/>
      <c r="DY342" s="9"/>
      <c r="DZ342" s="9"/>
      <c r="EA342" s="9"/>
      <c r="EB342" s="9"/>
      <c r="EC342" s="9"/>
      <c r="ED342" s="9"/>
      <c r="EE342" s="9"/>
      <c r="EF342" s="9"/>
      <c r="EG342" s="9"/>
      <c r="EH342" s="9"/>
      <c r="EI342" s="9"/>
      <c r="EJ342" s="9"/>
      <c r="EK342" s="9"/>
      <c r="EL342" s="9"/>
      <c r="EM342" s="9"/>
      <c r="EN342" s="9"/>
      <c r="EO342" s="9"/>
      <c r="EP342" s="9"/>
      <c r="EQ342" s="9"/>
      <c r="ER342" s="9"/>
      <c r="ES342" s="9"/>
      <c r="ET342" s="9"/>
      <c r="EU342" s="9"/>
      <c r="EV342" s="9"/>
      <c r="EW342" s="9"/>
      <c r="EX342" s="9"/>
      <c r="EY342" s="9"/>
      <c r="EZ342" s="9"/>
      <c r="FA342" s="9"/>
      <c r="FB342" s="9"/>
      <c r="FC342" s="9"/>
      <c r="FD342" s="9"/>
      <c r="FE342" s="9"/>
      <c r="FF342" s="9"/>
      <c r="FG342" s="9"/>
      <c r="FH342" s="9"/>
      <c r="FI342" s="9"/>
    </row>
    <row r="343" spans="1:165" x14ac:dyDescent="0.2">
      <c r="A343" s="1" t="s">
        <v>983</v>
      </c>
      <c r="B343" s="1" t="s">
        <v>984</v>
      </c>
      <c r="C343" s="1" t="s">
        <v>985</v>
      </c>
      <c r="D343" s="1" t="str">
        <f>HYPERLINK("http://eros.fiehnlab.ucdavis.edu:8080/binbase-compound/bin/show/273985?db=rtx5","273985")</f>
        <v>273985</v>
      </c>
      <c r="E343" s="1" t="s">
        <v>986</v>
      </c>
      <c r="F343" s="1" t="s">
        <v>184</v>
      </c>
      <c r="G343" s="1" t="s">
        <v>184</v>
      </c>
      <c r="H343" s="1"/>
      <c r="I343" s="8">
        <v>142</v>
      </c>
      <c r="J343" s="8">
        <v>81</v>
      </c>
      <c r="K343" s="8">
        <v>147</v>
      </c>
      <c r="L343" s="8">
        <v>122</v>
      </c>
      <c r="M343" s="8">
        <v>104</v>
      </c>
      <c r="N343" s="8">
        <v>118</v>
      </c>
      <c r="O343" s="8">
        <v>119</v>
      </c>
      <c r="P343" s="8">
        <v>111</v>
      </c>
      <c r="Q343" s="8">
        <v>111</v>
      </c>
      <c r="R343" s="8">
        <v>144</v>
      </c>
      <c r="S343" s="8">
        <v>139</v>
      </c>
      <c r="T343" s="8">
        <v>101</v>
      </c>
      <c r="U343" s="8">
        <v>93</v>
      </c>
      <c r="V343" s="8">
        <v>131</v>
      </c>
      <c r="W343" s="8">
        <v>102</v>
      </c>
      <c r="X343" s="8">
        <v>111</v>
      </c>
      <c r="Y343" s="8">
        <v>90</v>
      </c>
      <c r="Z343" s="8">
        <v>86</v>
      </c>
      <c r="AA343" s="8">
        <v>51</v>
      </c>
      <c r="AB343" s="8">
        <v>121</v>
      </c>
      <c r="AC343" s="8">
        <v>100</v>
      </c>
      <c r="AD343" s="8">
        <v>18</v>
      </c>
      <c r="AE343" s="8">
        <v>106</v>
      </c>
      <c r="AF343" s="8">
        <v>73</v>
      </c>
      <c r="AG343" s="8">
        <v>92</v>
      </c>
      <c r="AH343" s="8">
        <v>131</v>
      </c>
      <c r="AI343" s="8">
        <v>64</v>
      </c>
      <c r="AJ343" s="8">
        <v>116</v>
      </c>
      <c r="AK343" s="8">
        <v>80</v>
      </c>
      <c r="AL343" s="8">
        <v>116</v>
      </c>
      <c r="AM343" s="8">
        <v>153</v>
      </c>
      <c r="AN343" s="8">
        <v>138</v>
      </c>
      <c r="AO343" s="8">
        <v>138</v>
      </c>
      <c r="AP343" s="8">
        <v>164</v>
      </c>
      <c r="AQ343" s="8">
        <v>103</v>
      </c>
      <c r="AR343" s="8">
        <v>109</v>
      </c>
      <c r="AS343" s="8">
        <v>131</v>
      </c>
      <c r="AT343" s="8">
        <v>117</v>
      </c>
      <c r="AU343" s="8">
        <v>118</v>
      </c>
      <c r="AV343" s="8">
        <v>98</v>
      </c>
      <c r="AW343" s="8">
        <v>108</v>
      </c>
      <c r="AX343" s="8">
        <v>76</v>
      </c>
      <c r="AY343" s="8">
        <v>114</v>
      </c>
      <c r="AZ343" s="8">
        <v>140</v>
      </c>
      <c r="BA343" s="8">
        <v>118</v>
      </c>
      <c r="BB343" s="8">
        <v>114</v>
      </c>
      <c r="BC343" s="8">
        <v>109</v>
      </c>
      <c r="BD343" s="8">
        <v>125</v>
      </c>
      <c r="BE343" s="8">
        <v>118</v>
      </c>
      <c r="BF343" s="8">
        <v>34</v>
      </c>
      <c r="BG343" s="8">
        <v>106</v>
      </c>
      <c r="BH343" s="8">
        <v>88</v>
      </c>
      <c r="BI343" s="8">
        <v>97</v>
      </c>
      <c r="BJ343" s="8">
        <v>86</v>
      </c>
      <c r="BK343" s="8">
        <v>91</v>
      </c>
      <c r="BL343" s="8">
        <v>158</v>
      </c>
      <c r="BM343" s="8">
        <v>162</v>
      </c>
      <c r="BN343" s="8">
        <v>24</v>
      </c>
      <c r="BO343" s="8">
        <v>115</v>
      </c>
      <c r="BP343" s="8">
        <v>107</v>
      </c>
      <c r="BQ343" s="8">
        <v>118</v>
      </c>
      <c r="BR343" s="8">
        <v>113</v>
      </c>
      <c r="BS343" s="8">
        <v>157</v>
      </c>
      <c r="BT343" s="8">
        <v>76</v>
      </c>
      <c r="BU343" s="8">
        <v>97</v>
      </c>
      <c r="BV343" s="8">
        <v>72</v>
      </c>
      <c r="BW343" s="8">
        <v>113</v>
      </c>
      <c r="BX343" s="8">
        <v>105</v>
      </c>
      <c r="BY343" s="8">
        <v>120</v>
      </c>
      <c r="BZ343" s="8">
        <v>101</v>
      </c>
      <c r="CA343" s="8">
        <v>94</v>
      </c>
      <c r="CB343" s="8">
        <v>94</v>
      </c>
      <c r="CC343" s="8">
        <v>120</v>
      </c>
      <c r="CD343" s="8">
        <v>82</v>
      </c>
      <c r="CE343" s="8">
        <v>103</v>
      </c>
      <c r="CF343" s="8">
        <v>111</v>
      </c>
      <c r="CG343" s="8">
        <v>99</v>
      </c>
      <c r="CH343" s="8">
        <v>242</v>
      </c>
      <c r="CJ343" s="9"/>
      <c r="CK343" s="9"/>
      <c r="CL343" s="9"/>
      <c r="CM343" s="9"/>
      <c r="CN343" s="9"/>
      <c r="CO343" s="9"/>
      <c r="CP343" s="9"/>
      <c r="CQ343" s="9"/>
      <c r="CR343" s="9"/>
      <c r="CS343" s="9"/>
      <c r="CT343" s="9"/>
      <c r="CU343" s="9"/>
      <c r="CV343" s="9"/>
      <c r="CW343" s="9"/>
      <c r="CX343" s="9"/>
      <c r="CY343" s="9"/>
      <c r="CZ343" s="9"/>
      <c r="DA343" s="9"/>
      <c r="DB343" s="9"/>
      <c r="DC343" s="9"/>
      <c r="DD343" s="9"/>
      <c r="DE343" s="9"/>
      <c r="DF343" s="9"/>
      <c r="DG343" s="9"/>
      <c r="DH343" s="9"/>
      <c r="DI343" s="9"/>
      <c r="DJ343" s="9"/>
      <c r="DK343" s="9"/>
      <c r="DL343" s="9"/>
      <c r="DM343" s="9"/>
      <c r="DN343" s="9"/>
      <c r="DO343" s="9"/>
      <c r="DP343" s="9"/>
      <c r="DQ343" s="9"/>
      <c r="DR343" s="9"/>
      <c r="DS343" s="9"/>
      <c r="DT343" s="9"/>
      <c r="DU343" s="9"/>
      <c r="DV343" s="9"/>
      <c r="DW343" s="9"/>
      <c r="DX343" s="9"/>
      <c r="DY343" s="9"/>
      <c r="DZ343" s="9"/>
      <c r="EA343" s="9"/>
      <c r="EB343" s="9"/>
      <c r="EC343" s="9"/>
      <c r="ED343" s="9"/>
      <c r="EE343" s="9"/>
      <c r="EF343" s="9"/>
      <c r="EG343" s="9"/>
      <c r="EH343" s="9"/>
      <c r="EI343" s="9"/>
      <c r="EJ343" s="9"/>
      <c r="EK343" s="9"/>
      <c r="EL343" s="9"/>
      <c r="EM343" s="9"/>
      <c r="EN343" s="9"/>
      <c r="EO343" s="9"/>
      <c r="EP343" s="9"/>
      <c r="EQ343" s="9"/>
      <c r="ER343" s="9"/>
      <c r="ES343" s="9"/>
      <c r="ET343" s="9"/>
      <c r="EU343" s="9"/>
      <c r="EV343" s="9"/>
      <c r="EW343" s="9"/>
      <c r="EX343" s="9"/>
      <c r="EY343" s="9"/>
      <c r="EZ343" s="9"/>
      <c r="FA343" s="9"/>
      <c r="FB343" s="9"/>
      <c r="FC343" s="9"/>
      <c r="FD343" s="9"/>
      <c r="FE343" s="9"/>
      <c r="FF343" s="9"/>
      <c r="FG343" s="9"/>
      <c r="FH343" s="9"/>
      <c r="FI343" s="9"/>
    </row>
    <row r="344" spans="1:165" x14ac:dyDescent="0.2">
      <c r="A344" s="1" t="s">
        <v>1412</v>
      </c>
      <c r="B344" s="1" t="s">
        <v>1413</v>
      </c>
      <c r="C344" s="1" t="s">
        <v>371</v>
      </c>
      <c r="D344" s="1" t="str">
        <f>HYPERLINK("http://eros.fiehnlab.ucdavis.edu:8080/binbase-compound/bin/show/199213?db=rtx5","199213")</f>
        <v>199213</v>
      </c>
      <c r="E344" s="1" t="s">
        <v>1414</v>
      </c>
      <c r="F344" s="1" t="s">
        <v>184</v>
      </c>
      <c r="G344" s="1" t="s">
        <v>184</v>
      </c>
      <c r="H344" s="1"/>
      <c r="I344" s="8">
        <v>769</v>
      </c>
      <c r="J344" s="8">
        <v>605</v>
      </c>
      <c r="K344" s="8">
        <v>1116</v>
      </c>
      <c r="L344" s="8">
        <v>830</v>
      </c>
      <c r="M344" s="8">
        <v>1040</v>
      </c>
      <c r="N344" s="8">
        <v>741</v>
      </c>
      <c r="O344" s="8">
        <v>509</v>
      </c>
      <c r="P344" s="8">
        <v>686</v>
      </c>
      <c r="Q344" s="8">
        <v>781</v>
      </c>
      <c r="R344" s="8">
        <v>794</v>
      </c>
      <c r="S344" s="8">
        <v>718</v>
      </c>
      <c r="T344" s="8">
        <v>618</v>
      </c>
      <c r="U344" s="8">
        <v>806</v>
      </c>
      <c r="V344" s="8">
        <v>956</v>
      </c>
      <c r="W344" s="8">
        <v>1877</v>
      </c>
      <c r="X344" s="8">
        <v>1021</v>
      </c>
      <c r="Y344" s="8">
        <v>889</v>
      </c>
      <c r="Z344" s="8">
        <v>942</v>
      </c>
      <c r="AA344" s="8">
        <v>571</v>
      </c>
      <c r="AB344" s="8">
        <v>519</v>
      </c>
      <c r="AC344" s="8">
        <v>544</v>
      </c>
      <c r="AD344" s="8">
        <v>512</v>
      </c>
      <c r="AE344" s="8">
        <v>1056</v>
      </c>
      <c r="AF344" s="8">
        <v>491</v>
      </c>
      <c r="AG344" s="8">
        <v>1205</v>
      </c>
      <c r="AH344" s="8">
        <v>884</v>
      </c>
      <c r="AI344" s="8">
        <v>759</v>
      </c>
      <c r="AJ344" s="8">
        <v>1939</v>
      </c>
      <c r="AK344" s="8">
        <v>1126</v>
      </c>
      <c r="AL344" s="8">
        <v>650</v>
      </c>
      <c r="AM344" s="8">
        <v>483</v>
      </c>
      <c r="AN344" s="8">
        <v>557</v>
      </c>
      <c r="AO344" s="8">
        <v>614</v>
      </c>
      <c r="AP344" s="8">
        <v>593</v>
      </c>
      <c r="AQ344" s="8">
        <v>352</v>
      </c>
      <c r="AR344" s="8">
        <v>375</v>
      </c>
      <c r="AS344" s="8">
        <v>1025</v>
      </c>
      <c r="AT344" s="8">
        <v>833</v>
      </c>
      <c r="AU344" s="8">
        <v>631</v>
      </c>
      <c r="AV344" s="8">
        <v>545</v>
      </c>
      <c r="AW344" s="8">
        <v>1006</v>
      </c>
      <c r="AX344" s="8">
        <v>581</v>
      </c>
      <c r="AY344" s="8">
        <v>357</v>
      </c>
      <c r="AZ344" s="8">
        <v>636</v>
      </c>
      <c r="BA344" s="8">
        <v>533</v>
      </c>
      <c r="BB344" s="8">
        <v>520</v>
      </c>
      <c r="BC344" s="8">
        <v>413</v>
      </c>
      <c r="BD344" s="8">
        <v>562</v>
      </c>
      <c r="BE344" s="8">
        <v>1477</v>
      </c>
      <c r="BF344" s="8">
        <v>1043</v>
      </c>
      <c r="BG344" s="8">
        <v>878</v>
      </c>
      <c r="BH344" s="8">
        <v>685</v>
      </c>
      <c r="BI344" s="8">
        <v>802</v>
      </c>
      <c r="BJ344" s="8">
        <v>818</v>
      </c>
      <c r="BK344" s="8">
        <v>507</v>
      </c>
      <c r="BL344" s="8">
        <v>571</v>
      </c>
      <c r="BM344" s="8">
        <v>601</v>
      </c>
      <c r="BN344" s="8">
        <v>756</v>
      </c>
      <c r="BO344" s="8">
        <v>717</v>
      </c>
      <c r="BP344" s="8">
        <v>921</v>
      </c>
      <c r="BQ344" s="8">
        <v>1711</v>
      </c>
      <c r="BR344" s="8">
        <v>845</v>
      </c>
      <c r="BS344" s="8">
        <v>1090</v>
      </c>
      <c r="BT344" s="8">
        <v>851</v>
      </c>
      <c r="BU344" s="8">
        <v>572</v>
      </c>
      <c r="BV344" s="8">
        <v>722</v>
      </c>
      <c r="BW344" s="8">
        <v>668</v>
      </c>
      <c r="BX344" s="8">
        <v>443</v>
      </c>
      <c r="BY344" s="8">
        <v>634</v>
      </c>
      <c r="BZ344" s="8">
        <v>861</v>
      </c>
      <c r="CA344" s="8">
        <v>640</v>
      </c>
      <c r="CB344" s="8">
        <v>376</v>
      </c>
      <c r="CC344" s="8">
        <v>747</v>
      </c>
      <c r="CD344" s="8">
        <v>470</v>
      </c>
      <c r="CE344" s="8">
        <v>822</v>
      </c>
      <c r="CF344" s="8">
        <v>692</v>
      </c>
      <c r="CG344" s="8">
        <v>1194</v>
      </c>
      <c r="CH344" s="8">
        <v>1026</v>
      </c>
      <c r="CJ344" s="9"/>
      <c r="CK344" s="9"/>
      <c r="CL344" s="9"/>
      <c r="CM344" s="9"/>
      <c r="CN344" s="9"/>
      <c r="CO344" s="9"/>
      <c r="CP344" s="9"/>
      <c r="CQ344" s="9"/>
      <c r="CR344" s="9"/>
      <c r="CS344" s="9"/>
      <c r="CT344" s="9"/>
      <c r="CU344" s="9"/>
      <c r="CV344" s="9"/>
      <c r="CW344" s="9"/>
      <c r="CX344" s="9"/>
      <c r="CY344" s="9"/>
      <c r="CZ344" s="9"/>
      <c r="DA344" s="9"/>
      <c r="DB344" s="9"/>
      <c r="DC344" s="9"/>
      <c r="DD344" s="9"/>
      <c r="DE344" s="9"/>
      <c r="DF344" s="9"/>
      <c r="DG344" s="9"/>
      <c r="DH344" s="9"/>
      <c r="DI344" s="9"/>
      <c r="DJ344" s="9"/>
      <c r="DK344" s="9"/>
      <c r="DL344" s="9"/>
      <c r="DM344" s="9"/>
      <c r="DN344" s="9"/>
      <c r="DO344" s="9"/>
      <c r="DP344" s="9"/>
      <c r="DQ344" s="9"/>
      <c r="DR344" s="9"/>
      <c r="DS344" s="9"/>
      <c r="DT344" s="9"/>
      <c r="DU344" s="9"/>
      <c r="DV344" s="9"/>
      <c r="DW344" s="9"/>
      <c r="DX344" s="9"/>
      <c r="DY344" s="9"/>
      <c r="DZ344" s="9"/>
      <c r="EA344" s="9"/>
      <c r="EB344" s="9"/>
      <c r="EC344" s="9"/>
      <c r="ED344" s="9"/>
      <c r="EE344" s="9"/>
      <c r="EF344" s="9"/>
      <c r="EG344" s="9"/>
      <c r="EH344" s="9"/>
      <c r="EI344" s="9"/>
      <c r="EJ344" s="9"/>
      <c r="EK344" s="9"/>
      <c r="EL344" s="9"/>
      <c r="EM344" s="9"/>
      <c r="EN344" s="9"/>
      <c r="EO344" s="9"/>
      <c r="EP344" s="9"/>
      <c r="EQ344" s="9"/>
      <c r="ER344" s="9"/>
      <c r="ES344" s="9"/>
      <c r="ET344" s="9"/>
      <c r="EU344" s="9"/>
      <c r="EV344" s="9"/>
      <c r="EW344" s="9"/>
      <c r="EX344" s="9"/>
      <c r="EY344" s="9"/>
      <c r="EZ344" s="9"/>
      <c r="FA344" s="9"/>
      <c r="FB344" s="9"/>
      <c r="FC344" s="9"/>
      <c r="FD344" s="9"/>
      <c r="FE344" s="9"/>
      <c r="FF344" s="9"/>
      <c r="FG344" s="9"/>
      <c r="FH344" s="9"/>
      <c r="FI344" s="9"/>
    </row>
    <row r="345" spans="1:165" x14ac:dyDescent="0.2">
      <c r="A345" s="1" t="s">
        <v>1136</v>
      </c>
      <c r="B345" s="1" t="s">
        <v>1137</v>
      </c>
      <c r="C345" s="1" t="s">
        <v>265</v>
      </c>
      <c r="D345" s="1" t="str">
        <f>HYPERLINK("http://eros.fiehnlab.ucdavis.edu:8080/binbase-compound/bin/show/228383?db=rtx5","228383")</f>
        <v>228383</v>
      </c>
      <c r="E345" s="1" t="s">
        <v>1138</v>
      </c>
      <c r="F345" s="1" t="s">
        <v>184</v>
      </c>
      <c r="G345" s="1" t="s">
        <v>184</v>
      </c>
      <c r="H345" s="1"/>
      <c r="I345" s="8">
        <v>494</v>
      </c>
      <c r="J345" s="8">
        <v>461</v>
      </c>
      <c r="K345" s="8">
        <v>641</v>
      </c>
      <c r="L345" s="8">
        <v>426</v>
      </c>
      <c r="M345" s="8">
        <v>758</v>
      </c>
      <c r="N345" s="8">
        <v>530</v>
      </c>
      <c r="O345" s="8">
        <v>420</v>
      </c>
      <c r="P345" s="8">
        <v>514</v>
      </c>
      <c r="Q345" s="8">
        <v>463</v>
      </c>
      <c r="R345" s="8">
        <v>500</v>
      </c>
      <c r="S345" s="8">
        <v>610</v>
      </c>
      <c r="T345" s="8">
        <v>453</v>
      </c>
      <c r="U345" s="8">
        <v>436</v>
      </c>
      <c r="V345" s="8">
        <v>341</v>
      </c>
      <c r="W345" s="8">
        <v>556</v>
      </c>
      <c r="X345" s="8">
        <v>411</v>
      </c>
      <c r="Y345" s="8">
        <v>327</v>
      </c>
      <c r="Z345" s="8">
        <v>348</v>
      </c>
      <c r="AA345" s="8">
        <v>297</v>
      </c>
      <c r="AB345" s="8">
        <v>381</v>
      </c>
      <c r="AC345" s="8">
        <v>471</v>
      </c>
      <c r="AD345" s="8">
        <v>334</v>
      </c>
      <c r="AE345" s="8">
        <v>435</v>
      </c>
      <c r="AF345" s="8">
        <v>282</v>
      </c>
      <c r="AG345" s="8">
        <v>373</v>
      </c>
      <c r="AH345" s="8">
        <v>328</v>
      </c>
      <c r="AI345" s="8">
        <v>365</v>
      </c>
      <c r="AJ345" s="8">
        <v>560</v>
      </c>
      <c r="AK345" s="8">
        <v>259</v>
      </c>
      <c r="AL345" s="8">
        <v>584</v>
      </c>
      <c r="AM345" s="8">
        <v>752</v>
      </c>
      <c r="AN345" s="8">
        <v>506</v>
      </c>
      <c r="AO345" s="8">
        <v>634</v>
      </c>
      <c r="AP345" s="8">
        <v>595</v>
      </c>
      <c r="AQ345" s="8">
        <v>453</v>
      </c>
      <c r="AR345" s="8">
        <v>600</v>
      </c>
      <c r="AS345" s="8">
        <v>568</v>
      </c>
      <c r="AT345" s="8">
        <v>477</v>
      </c>
      <c r="AU345" s="8">
        <v>490</v>
      </c>
      <c r="AV345" s="8">
        <v>553</v>
      </c>
      <c r="AW345" s="8">
        <v>458</v>
      </c>
      <c r="AX345" s="8">
        <v>542</v>
      </c>
      <c r="AY345" s="8">
        <v>475</v>
      </c>
      <c r="AZ345" s="8">
        <v>557</v>
      </c>
      <c r="BA345" s="8">
        <v>530</v>
      </c>
      <c r="BB345" s="8">
        <v>556</v>
      </c>
      <c r="BC345" s="8">
        <v>478</v>
      </c>
      <c r="BD345" s="8">
        <v>609</v>
      </c>
      <c r="BE345" s="8">
        <v>333</v>
      </c>
      <c r="BF345" s="8">
        <v>480</v>
      </c>
      <c r="BG345" s="8">
        <v>562</v>
      </c>
      <c r="BH345" s="8">
        <v>413</v>
      </c>
      <c r="BI345" s="8">
        <v>482</v>
      </c>
      <c r="BJ345" s="8">
        <v>467</v>
      </c>
      <c r="BK345" s="8">
        <v>506</v>
      </c>
      <c r="BL345" s="8">
        <v>683</v>
      </c>
      <c r="BM345" s="8">
        <v>355</v>
      </c>
      <c r="BN345" s="8">
        <v>400</v>
      </c>
      <c r="BO345" s="8">
        <v>462</v>
      </c>
      <c r="BP345" s="8">
        <v>521</v>
      </c>
      <c r="BQ345" s="8">
        <v>513</v>
      </c>
      <c r="BR345" s="8">
        <v>372</v>
      </c>
      <c r="BS345" s="8">
        <v>582</v>
      </c>
      <c r="BT345" s="8">
        <v>264</v>
      </c>
      <c r="BU345" s="8">
        <v>364</v>
      </c>
      <c r="BV345" s="8">
        <v>296</v>
      </c>
      <c r="BW345" s="8">
        <v>314</v>
      </c>
      <c r="BX345" s="8">
        <v>541</v>
      </c>
      <c r="BY345" s="8">
        <v>446</v>
      </c>
      <c r="BZ345" s="8">
        <v>334</v>
      </c>
      <c r="CA345" s="8">
        <v>390</v>
      </c>
      <c r="CB345" s="8">
        <v>365</v>
      </c>
      <c r="CC345" s="8">
        <v>378</v>
      </c>
      <c r="CD345" s="8">
        <v>379</v>
      </c>
      <c r="CE345" s="8">
        <v>415</v>
      </c>
      <c r="CF345" s="8">
        <v>377</v>
      </c>
      <c r="CG345" s="8">
        <v>452</v>
      </c>
      <c r="CH345" s="8">
        <v>462</v>
      </c>
      <c r="CJ345" s="9"/>
      <c r="CK345" s="9"/>
      <c r="CL345" s="9"/>
      <c r="CM345" s="9"/>
      <c r="CN345" s="9"/>
      <c r="CO345" s="9"/>
      <c r="CP345" s="9"/>
      <c r="CQ345" s="9"/>
      <c r="CR345" s="9"/>
      <c r="CS345" s="9"/>
      <c r="CT345" s="9"/>
      <c r="CU345" s="9"/>
      <c r="CV345" s="9"/>
      <c r="CW345" s="9"/>
      <c r="CX345" s="9"/>
      <c r="CY345" s="9"/>
      <c r="CZ345" s="9"/>
      <c r="DA345" s="9"/>
      <c r="DB345" s="9"/>
      <c r="DC345" s="9"/>
      <c r="DD345" s="9"/>
      <c r="DE345" s="9"/>
      <c r="DF345" s="9"/>
      <c r="DG345" s="9"/>
      <c r="DH345" s="9"/>
      <c r="DI345" s="9"/>
      <c r="DJ345" s="9"/>
      <c r="DK345" s="9"/>
      <c r="DL345" s="9"/>
      <c r="DM345" s="9"/>
      <c r="DN345" s="9"/>
      <c r="DO345" s="9"/>
      <c r="DP345" s="9"/>
      <c r="DQ345" s="9"/>
      <c r="DR345" s="9"/>
      <c r="DS345" s="9"/>
      <c r="DT345" s="9"/>
      <c r="DU345" s="9"/>
      <c r="DV345" s="9"/>
      <c r="DW345" s="9"/>
      <c r="DX345" s="9"/>
      <c r="DY345" s="9"/>
      <c r="DZ345" s="9"/>
      <c r="EA345" s="9"/>
      <c r="EB345" s="9"/>
      <c r="EC345" s="9"/>
      <c r="ED345" s="9"/>
      <c r="EE345" s="9"/>
      <c r="EF345" s="9"/>
      <c r="EG345" s="9"/>
      <c r="EH345" s="9"/>
      <c r="EI345" s="9"/>
      <c r="EJ345" s="9"/>
      <c r="EK345" s="9"/>
      <c r="EL345" s="9"/>
      <c r="EM345" s="9"/>
      <c r="EN345" s="9"/>
      <c r="EO345" s="9"/>
      <c r="EP345" s="9"/>
      <c r="EQ345" s="9"/>
      <c r="ER345" s="9"/>
      <c r="ES345" s="9"/>
      <c r="ET345" s="9"/>
      <c r="EU345" s="9"/>
      <c r="EV345" s="9"/>
      <c r="EW345" s="9"/>
      <c r="EX345" s="9"/>
      <c r="EY345" s="9"/>
      <c r="EZ345" s="9"/>
      <c r="FA345" s="9"/>
      <c r="FB345" s="9"/>
      <c r="FC345" s="9"/>
      <c r="FD345" s="9"/>
      <c r="FE345" s="9"/>
      <c r="FF345" s="9"/>
      <c r="FG345" s="9"/>
      <c r="FH345" s="9"/>
      <c r="FI345" s="9"/>
    </row>
    <row r="346" spans="1:165" x14ac:dyDescent="0.2">
      <c r="A346" s="1" t="s">
        <v>933</v>
      </c>
      <c r="B346" s="1" t="s">
        <v>934</v>
      </c>
      <c r="C346" s="1" t="s">
        <v>935</v>
      </c>
      <c r="D346" s="1" t="str">
        <f>HYPERLINK("http://eros.fiehnlab.ucdavis.edu:8080/binbase-compound/bin/show/295010?db=rtx5","295010")</f>
        <v>295010</v>
      </c>
      <c r="E346" s="1" t="s">
        <v>936</v>
      </c>
      <c r="F346" s="1" t="s">
        <v>184</v>
      </c>
      <c r="G346" s="1" t="s">
        <v>184</v>
      </c>
      <c r="H346" s="1"/>
      <c r="I346" s="8">
        <v>2495</v>
      </c>
      <c r="J346" s="8">
        <v>2496</v>
      </c>
      <c r="K346" s="8">
        <v>2032</v>
      </c>
      <c r="L346" s="8">
        <v>171</v>
      </c>
      <c r="M346" s="8">
        <v>826</v>
      </c>
      <c r="N346" s="8">
        <v>784</v>
      </c>
      <c r="O346" s="8">
        <v>1247</v>
      </c>
      <c r="P346" s="8">
        <v>2200</v>
      </c>
      <c r="Q346" s="8">
        <v>699</v>
      </c>
      <c r="R346" s="8">
        <v>856</v>
      </c>
      <c r="S346" s="8">
        <v>893</v>
      </c>
      <c r="T346" s="8">
        <v>1427</v>
      </c>
      <c r="U346" s="8">
        <v>2038</v>
      </c>
      <c r="V346" s="8">
        <v>2238</v>
      </c>
      <c r="W346" s="8">
        <v>1731</v>
      </c>
      <c r="X346" s="8">
        <v>716</v>
      </c>
      <c r="Y346" s="8">
        <v>1347</v>
      </c>
      <c r="Z346" s="8">
        <v>824</v>
      </c>
      <c r="AA346" s="8">
        <v>1556</v>
      </c>
      <c r="AB346" s="8">
        <v>2747</v>
      </c>
      <c r="AC346" s="8">
        <v>1009</v>
      </c>
      <c r="AD346" s="8">
        <v>1797</v>
      </c>
      <c r="AE346" s="8">
        <v>1761</v>
      </c>
      <c r="AF346" s="8">
        <v>513</v>
      </c>
      <c r="AG346" s="8">
        <v>2671</v>
      </c>
      <c r="AH346" s="8">
        <v>2081</v>
      </c>
      <c r="AI346" s="8">
        <v>2220</v>
      </c>
      <c r="AJ346" s="8">
        <v>3121</v>
      </c>
      <c r="AK346" s="8">
        <v>621</v>
      </c>
      <c r="AL346" s="8">
        <v>778</v>
      </c>
      <c r="AM346" s="8">
        <v>2822</v>
      </c>
      <c r="AN346" s="8">
        <v>2106</v>
      </c>
      <c r="AO346" s="8">
        <v>2651</v>
      </c>
      <c r="AP346" s="8">
        <v>1853</v>
      </c>
      <c r="AQ346" s="8">
        <v>674</v>
      </c>
      <c r="AR346" s="8">
        <v>726</v>
      </c>
      <c r="AS346" s="8">
        <v>2533</v>
      </c>
      <c r="AT346" s="8">
        <v>2295</v>
      </c>
      <c r="AU346" s="8">
        <v>2824</v>
      </c>
      <c r="AV346" s="8">
        <v>3314</v>
      </c>
      <c r="AW346" s="8">
        <v>1608</v>
      </c>
      <c r="AX346" s="8">
        <v>956</v>
      </c>
      <c r="AY346" s="8">
        <v>1873</v>
      </c>
      <c r="AZ346" s="8">
        <v>1761</v>
      </c>
      <c r="BA346" s="8">
        <v>1032</v>
      </c>
      <c r="BB346" s="8">
        <v>1158</v>
      </c>
      <c r="BC346" s="8">
        <v>1196</v>
      </c>
      <c r="BD346" s="8">
        <v>868</v>
      </c>
      <c r="BE346" s="8">
        <v>1791</v>
      </c>
      <c r="BF346" s="8">
        <v>1698</v>
      </c>
      <c r="BG346" s="8">
        <v>2319</v>
      </c>
      <c r="BH346" s="8">
        <v>2137</v>
      </c>
      <c r="BI346" s="8">
        <v>858</v>
      </c>
      <c r="BJ346" s="8">
        <v>700</v>
      </c>
      <c r="BK346" s="8">
        <v>2448</v>
      </c>
      <c r="BL346" s="8">
        <v>3564</v>
      </c>
      <c r="BM346" s="8">
        <v>2942</v>
      </c>
      <c r="BN346" s="8">
        <v>1885</v>
      </c>
      <c r="BO346" s="8">
        <v>2093</v>
      </c>
      <c r="BP346" s="8">
        <v>2412</v>
      </c>
      <c r="BQ346" s="8">
        <v>2060</v>
      </c>
      <c r="BR346" s="8">
        <v>2040</v>
      </c>
      <c r="BS346" s="8">
        <v>2071</v>
      </c>
      <c r="BT346" s="8">
        <v>704</v>
      </c>
      <c r="BU346" s="8">
        <v>933</v>
      </c>
      <c r="BV346" s="8">
        <v>609</v>
      </c>
      <c r="BW346" s="8">
        <v>2336</v>
      </c>
      <c r="BX346" s="8">
        <v>1973</v>
      </c>
      <c r="BY346" s="8">
        <v>2103</v>
      </c>
      <c r="BZ346" s="8">
        <v>2025</v>
      </c>
      <c r="CA346" s="8">
        <v>721</v>
      </c>
      <c r="CB346" s="8">
        <v>581</v>
      </c>
      <c r="CC346" s="8">
        <v>1526</v>
      </c>
      <c r="CD346" s="8">
        <v>1568</v>
      </c>
      <c r="CE346" s="8">
        <v>1665</v>
      </c>
      <c r="CF346" s="8">
        <v>1766</v>
      </c>
      <c r="CG346" s="8">
        <v>1968</v>
      </c>
      <c r="CH346" s="8">
        <v>613</v>
      </c>
      <c r="CJ346" s="9"/>
      <c r="CK346" s="9"/>
      <c r="CL346" s="9"/>
      <c r="CM346" s="9"/>
      <c r="CN346" s="9"/>
      <c r="CO346" s="9"/>
      <c r="CP346" s="9"/>
      <c r="CQ346" s="9"/>
      <c r="CR346" s="9"/>
      <c r="CS346" s="9"/>
      <c r="CT346" s="9"/>
      <c r="CU346" s="9"/>
      <c r="CV346" s="9"/>
      <c r="CW346" s="9"/>
      <c r="CX346" s="9"/>
      <c r="CY346" s="9"/>
      <c r="CZ346" s="9"/>
      <c r="DA346" s="9"/>
      <c r="DB346" s="9"/>
      <c r="DC346" s="9"/>
      <c r="DD346" s="9"/>
      <c r="DE346" s="9"/>
      <c r="DF346" s="9"/>
      <c r="DG346" s="9"/>
      <c r="DH346" s="9"/>
      <c r="DI346" s="9"/>
      <c r="DJ346" s="9"/>
      <c r="DK346" s="9"/>
      <c r="DL346" s="9"/>
      <c r="DM346" s="9"/>
      <c r="DN346" s="9"/>
      <c r="DO346" s="9"/>
      <c r="DP346" s="9"/>
      <c r="DQ346" s="9"/>
      <c r="DR346" s="9"/>
      <c r="DS346" s="9"/>
      <c r="DT346" s="9"/>
      <c r="DU346" s="9"/>
      <c r="DV346" s="9"/>
      <c r="DW346" s="9"/>
      <c r="DX346" s="9"/>
      <c r="DY346" s="9"/>
      <c r="DZ346" s="9"/>
      <c r="EA346" s="9"/>
      <c r="EB346" s="9"/>
      <c r="EC346" s="9"/>
      <c r="ED346" s="9"/>
      <c r="EE346" s="9"/>
      <c r="EF346" s="9"/>
      <c r="EG346" s="9"/>
      <c r="EH346" s="9"/>
      <c r="EI346" s="9"/>
      <c r="EJ346" s="9"/>
      <c r="EK346" s="9"/>
      <c r="EL346" s="9"/>
      <c r="EM346" s="9"/>
      <c r="EN346" s="9"/>
      <c r="EO346" s="9"/>
      <c r="EP346" s="9"/>
      <c r="EQ346" s="9"/>
      <c r="ER346" s="9"/>
      <c r="ES346" s="9"/>
      <c r="ET346" s="9"/>
      <c r="EU346" s="9"/>
      <c r="EV346" s="9"/>
      <c r="EW346" s="9"/>
      <c r="EX346" s="9"/>
      <c r="EY346" s="9"/>
      <c r="EZ346" s="9"/>
      <c r="FA346" s="9"/>
      <c r="FB346" s="9"/>
      <c r="FC346" s="9"/>
      <c r="FD346" s="9"/>
      <c r="FE346" s="9"/>
      <c r="FF346" s="9"/>
      <c r="FG346" s="9"/>
      <c r="FH346" s="9"/>
      <c r="FI346" s="9"/>
    </row>
    <row r="347" spans="1:165" x14ac:dyDescent="0.2">
      <c r="A347" s="1" t="s">
        <v>1260</v>
      </c>
      <c r="B347" s="1" t="s">
        <v>1261</v>
      </c>
      <c r="C347" s="1" t="s">
        <v>427</v>
      </c>
      <c r="D347" s="1" t="str">
        <f>HYPERLINK("http://eros.fiehnlab.ucdavis.edu:8080/binbase-compound/bin/show/216865?db=rtx5","216865")</f>
        <v>216865</v>
      </c>
      <c r="E347" s="1" t="s">
        <v>1262</v>
      </c>
      <c r="F347" s="1" t="s">
        <v>184</v>
      </c>
      <c r="G347" s="1" t="s">
        <v>184</v>
      </c>
      <c r="H347" s="1"/>
      <c r="I347" s="8">
        <v>10549</v>
      </c>
      <c r="J347" s="8">
        <v>11736</v>
      </c>
      <c r="K347" s="8">
        <v>3428</v>
      </c>
      <c r="L347" s="8">
        <v>2969</v>
      </c>
      <c r="M347" s="8">
        <v>2729</v>
      </c>
      <c r="N347" s="8">
        <v>3994</v>
      </c>
      <c r="O347" s="8">
        <v>4577</v>
      </c>
      <c r="P347" s="8">
        <v>5343</v>
      </c>
      <c r="Q347" s="8">
        <v>3024</v>
      </c>
      <c r="R347" s="8">
        <v>3506</v>
      </c>
      <c r="S347" s="8">
        <v>3456</v>
      </c>
      <c r="T347" s="8">
        <v>2240</v>
      </c>
      <c r="U347" s="8">
        <v>5865</v>
      </c>
      <c r="V347" s="8">
        <v>7378</v>
      </c>
      <c r="W347" s="8">
        <v>5257</v>
      </c>
      <c r="X347" s="8">
        <v>3315</v>
      </c>
      <c r="Y347" s="8">
        <v>3766</v>
      </c>
      <c r="Z347" s="8">
        <v>2827</v>
      </c>
      <c r="AA347" s="8">
        <v>2866</v>
      </c>
      <c r="AB347" s="8">
        <v>6727</v>
      </c>
      <c r="AC347" s="8">
        <v>5242</v>
      </c>
      <c r="AD347" s="8">
        <v>3539</v>
      </c>
      <c r="AE347" s="8">
        <v>5590</v>
      </c>
      <c r="AF347" s="8">
        <v>3603</v>
      </c>
      <c r="AG347" s="8">
        <v>5434</v>
      </c>
      <c r="AH347" s="8">
        <v>6679</v>
      </c>
      <c r="AI347" s="8">
        <v>2991</v>
      </c>
      <c r="AJ347" s="8">
        <v>4711</v>
      </c>
      <c r="AK347" s="8">
        <v>2073</v>
      </c>
      <c r="AL347" s="8">
        <v>1912</v>
      </c>
      <c r="AM347" s="8">
        <v>11001</v>
      </c>
      <c r="AN347" s="8">
        <v>6093</v>
      </c>
      <c r="AO347" s="8">
        <v>5633</v>
      </c>
      <c r="AP347" s="8">
        <v>1561</v>
      </c>
      <c r="AQ347" s="8">
        <v>4210</v>
      </c>
      <c r="AR347" s="8">
        <v>3334</v>
      </c>
      <c r="AS347" s="8">
        <v>4248</v>
      </c>
      <c r="AT347" s="8">
        <v>3154</v>
      </c>
      <c r="AU347" s="8">
        <v>5386</v>
      </c>
      <c r="AV347" s="8">
        <v>7366</v>
      </c>
      <c r="AW347" s="8">
        <v>5154</v>
      </c>
      <c r="AX347" s="8">
        <v>4883</v>
      </c>
      <c r="AY347" s="8">
        <v>4075</v>
      </c>
      <c r="AZ347" s="8">
        <v>4297</v>
      </c>
      <c r="BA347" s="8">
        <v>3511</v>
      </c>
      <c r="BB347" s="8">
        <v>5256</v>
      </c>
      <c r="BC347" s="8">
        <v>1852</v>
      </c>
      <c r="BD347" s="8">
        <v>3481</v>
      </c>
      <c r="BE347" s="8">
        <v>6103</v>
      </c>
      <c r="BF347" s="8">
        <v>4546</v>
      </c>
      <c r="BG347" s="8">
        <v>6130</v>
      </c>
      <c r="BH347" s="8">
        <v>5614</v>
      </c>
      <c r="BI347" s="8">
        <v>3748</v>
      </c>
      <c r="BJ347" s="8">
        <v>2698</v>
      </c>
      <c r="BK347" s="8">
        <v>6951</v>
      </c>
      <c r="BL347" s="8">
        <v>8044</v>
      </c>
      <c r="BM347" s="8">
        <v>7022</v>
      </c>
      <c r="BN347" s="8">
        <v>4365</v>
      </c>
      <c r="BO347" s="8">
        <v>8318</v>
      </c>
      <c r="BP347" s="8">
        <v>7424</v>
      </c>
      <c r="BQ347" s="8">
        <v>8377</v>
      </c>
      <c r="BR347" s="8">
        <v>8903</v>
      </c>
      <c r="BS347" s="8">
        <v>9587</v>
      </c>
      <c r="BT347" s="8">
        <v>3317</v>
      </c>
      <c r="BU347" s="8">
        <v>3816</v>
      </c>
      <c r="BV347" s="8">
        <v>3070</v>
      </c>
      <c r="BW347" s="8">
        <v>6722</v>
      </c>
      <c r="BX347" s="8">
        <v>3224</v>
      </c>
      <c r="BY347" s="8">
        <v>7171</v>
      </c>
      <c r="BZ347" s="8">
        <v>10093</v>
      </c>
      <c r="CA347" s="8">
        <v>3528</v>
      </c>
      <c r="CB347" s="8">
        <v>2748</v>
      </c>
      <c r="CC347" s="8">
        <v>5028</v>
      </c>
      <c r="CD347" s="8">
        <v>3350</v>
      </c>
      <c r="CE347" s="8">
        <v>4759</v>
      </c>
      <c r="CF347" s="8">
        <v>3560</v>
      </c>
      <c r="CG347" s="8">
        <v>6879</v>
      </c>
      <c r="CH347" s="8">
        <v>2319</v>
      </c>
      <c r="CJ347" s="9"/>
      <c r="CK347" s="9"/>
      <c r="CL347" s="9"/>
      <c r="CM347" s="9"/>
      <c r="CN347" s="9"/>
      <c r="CO347" s="9"/>
      <c r="CP347" s="9"/>
      <c r="CQ347" s="9"/>
      <c r="CR347" s="9"/>
      <c r="CS347" s="9"/>
      <c r="CT347" s="9"/>
      <c r="CU347" s="9"/>
      <c r="CV347" s="9"/>
      <c r="CW347" s="9"/>
      <c r="CX347" s="9"/>
      <c r="CY347" s="9"/>
      <c r="CZ347" s="9"/>
      <c r="DA347" s="9"/>
      <c r="DB347" s="9"/>
      <c r="DC347" s="9"/>
      <c r="DD347" s="9"/>
      <c r="DE347" s="9"/>
      <c r="DF347" s="9"/>
      <c r="DG347" s="9"/>
      <c r="DH347" s="9"/>
      <c r="DI347" s="9"/>
      <c r="DJ347" s="9"/>
      <c r="DK347" s="9"/>
      <c r="DL347" s="9"/>
      <c r="DM347" s="9"/>
      <c r="DN347" s="9"/>
      <c r="DO347" s="9"/>
      <c r="DP347" s="9"/>
      <c r="DQ347" s="9"/>
      <c r="DR347" s="9"/>
      <c r="DS347" s="9"/>
      <c r="DT347" s="9"/>
      <c r="DU347" s="9"/>
      <c r="DV347" s="9"/>
      <c r="DW347" s="9"/>
      <c r="DX347" s="9"/>
      <c r="DY347" s="9"/>
      <c r="DZ347" s="9"/>
      <c r="EA347" s="9"/>
      <c r="EB347" s="9"/>
      <c r="EC347" s="9"/>
      <c r="ED347" s="9"/>
      <c r="EE347" s="9"/>
      <c r="EF347" s="9"/>
      <c r="EG347" s="9"/>
      <c r="EH347" s="9"/>
      <c r="EI347" s="9"/>
      <c r="EJ347" s="9"/>
      <c r="EK347" s="9"/>
      <c r="EL347" s="9"/>
      <c r="EM347" s="9"/>
      <c r="EN347" s="9"/>
      <c r="EO347" s="9"/>
      <c r="EP347" s="9"/>
      <c r="EQ347" s="9"/>
      <c r="ER347" s="9"/>
      <c r="ES347" s="9"/>
      <c r="ET347" s="9"/>
      <c r="EU347" s="9"/>
      <c r="EV347" s="9"/>
      <c r="EW347" s="9"/>
      <c r="EX347" s="9"/>
      <c r="EY347" s="9"/>
      <c r="EZ347" s="9"/>
      <c r="FA347" s="9"/>
      <c r="FB347" s="9"/>
      <c r="FC347" s="9"/>
      <c r="FD347" s="9"/>
      <c r="FE347" s="9"/>
      <c r="FF347" s="9"/>
      <c r="FG347" s="9"/>
      <c r="FH347" s="9"/>
      <c r="FI347" s="9"/>
    </row>
    <row r="348" spans="1:165" x14ac:dyDescent="0.2">
      <c r="A348" s="1" t="s">
        <v>1348</v>
      </c>
      <c r="B348" s="1" t="s">
        <v>1349</v>
      </c>
      <c r="C348" s="1" t="s">
        <v>848</v>
      </c>
      <c r="D348" s="1" t="str">
        <f>HYPERLINK("http://eros.fiehnlab.ucdavis.edu:8080/binbase-compound/bin/show/202664?db=rtx5","202664")</f>
        <v>202664</v>
      </c>
      <c r="E348" s="1" t="s">
        <v>1350</v>
      </c>
      <c r="F348" s="1" t="s">
        <v>184</v>
      </c>
      <c r="G348" s="1" t="s">
        <v>184</v>
      </c>
      <c r="H348" s="1"/>
      <c r="I348" s="8">
        <v>6150</v>
      </c>
      <c r="J348" s="8">
        <v>4150</v>
      </c>
      <c r="K348" s="8">
        <v>4666</v>
      </c>
      <c r="L348" s="8">
        <v>4525</v>
      </c>
      <c r="M348" s="8">
        <v>8585</v>
      </c>
      <c r="N348" s="8">
        <v>8288</v>
      </c>
      <c r="O348" s="8">
        <v>3595</v>
      </c>
      <c r="P348" s="8">
        <v>5146</v>
      </c>
      <c r="Q348" s="8">
        <v>8760</v>
      </c>
      <c r="R348" s="8">
        <v>9295</v>
      </c>
      <c r="S348" s="8">
        <v>10269</v>
      </c>
      <c r="T348" s="8">
        <v>7177</v>
      </c>
      <c r="U348" s="8">
        <v>3761</v>
      </c>
      <c r="V348" s="8">
        <v>4242</v>
      </c>
      <c r="W348" s="8">
        <v>7237</v>
      </c>
      <c r="X348" s="8">
        <v>11153</v>
      </c>
      <c r="Y348" s="8">
        <v>6191</v>
      </c>
      <c r="Z348" s="8">
        <v>7365</v>
      </c>
      <c r="AA348" s="8">
        <v>2723</v>
      </c>
      <c r="AB348" s="8">
        <v>4849</v>
      </c>
      <c r="AC348" s="8">
        <v>4814</v>
      </c>
      <c r="AD348" s="8">
        <v>4738</v>
      </c>
      <c r="AE348" s="8">
        <v>10239</v>
      </c>
      <c r="AF348" s="8">
        <v>5757</v>
      </c>
      <c r="AG348" s="8">
        <v>3001</v>
      </c>
      <c r="AH348" s="8">
        <v>4363</v>
      </c>
      <c r="AI348" s="8">
        <v>4163</v>
      </c>
      <c r="AJ348" s="8">
        <v>10474</v>
      </c>
      <c r="AK348" s="8">
        <v>6959</v>
      </c>
      <c r="AL348" s="8">
        <v>8575</v>
      </c>
      <c r="AM348" s="8">
        <v>5852</v>
      </c>
      <c r="AN348" s="8">
        <v>4754</v>
      </c>
      <c r="AO348" s="8">
        <v>5418</v>
      </c>
      <c r="AP348" s="8">
        <v>11635</v>
      </c>
      <c r="AQ348" s="8">
        <v>8255</v>
      </c>
      <c r="AR348" s="8">
        <v>7446</v>
      </c>
      <c r="AS348" s="8">
        <v>4639</v>
      </c>
      <c r="AT348" s="8">
        <v>5998</v>
      </c>
      <c r="AU348" s="8">
        <v>4270</v>
      </c>
      <c r="AV348" s="8">
        <v>4252</v>
      </c>
      <c r="AW348" s="8">
        <v>10749</v>
      </c>
      <c r="AX348" s="8">
        <v>6506</v>
      </c>
      <c r="AY348" s="8">
        <v>4830</v>
      </c>
      <c r="AZ348" s="8">
        <v>8284</v>
      </c>
      <c r="BA348" s="8">
        <v>9643</v>
      </c>
      <c r="BB348" s="8">
        <v>11685</v>
      </c>
      <c r="BC348" s="8">
        <v>11099</v>
      </c>
      <c r="BD348" s="8">
        <v>9745</v>
      </c>
      <c r="BE348" s="8">
        <v>4236</v>
      </c>
      <c r="BF348" s="8">
        <v>3585</v>
      </c>
      <c r="BG348" s="8">
        <v>4119</v>
      </c>
      <c r="BH348" s="8">
        <v>3238</v>
      </c>
      <c r="BI348" s="8">
        <v>7159</v>
      </c>
      <c r="BJ348" s="8">
        <v>7869</v>
      </c>
      <c r="BK348" s="8">
        <v>6605</v>
      </c>
      <c r="BL348" s="8">
        <v>5107</v>
      </c>
      <c r="BM348" s="8">
        <v>6141</v>
      </c>
      <c r="BN348" s="8">
        <v>6094</v>
      </c>
      <c r="BO348" s="8">
        <v>8897</v>
      </c>
      <c r="BP348" s="8">
        <v>10377</v>
      </c>
      <c r="BQ348" s="8">
        <v>4675</v>
      </c>
      <c r="BR348" s="8">
        <v>4261</v>
      </c>
      <c r="BS348" s="8">
        <v>4490</v>
      </c>
      <c r="BT348" s="8">
        <v>8260</v>
      </c>
      <c r="BU348" s="8">
        <v>7162</v>
      </c>
      <c r="BV348" s="8">
        <v>9667</v>
      </c>
      <c r="BW348" s="8">
        <v>5278</v>
      </c>
      <c r="BX348" s="8">
        <v>4805</v>
      </c>
      <c r="BY348" s="8">
        <v>4367</v>
      </c>
      <c r="BZ348" s="8">
        <v>9728</v>
      </c>
      <c r="CA348" s="8">
        <v>9979</v>
      </c>
      <c r="CB348" s="8">
        <v>7717</v>
      </c>
      <c r="CC348" s="8">
        <v>4221</v>
      </c>
      <c r="CD348" s="8">
        <v>3351</v>
      </c>
      <c r="CE348" s="8">
        <v>5240</v>
      </c>
      <c r="CF348" s="8">
        <v>3863</v>
      </c>
      <c r="CG348" s="8">
        <v>6872</v>
      </c>
      <c r="CH348" s="8">
        <v>8884</v>
      </c>
      <c r="CJ348" s="9"/>
      <c r="CK348" s="9"/>
      <c r="CL348" s="9"/>
      <c r="CM348" s="9"/>
      <c r="CN348" s="9"/>
      <c r="CO348" s="9"/>
      <c r="CP348" s="9"/>
      <c r="CQ348" s="9"/>
      <c r="CR348" s="9"/>
      <c r="CS348" s="9"/>
      <c r="CT348" s="9"/>
      <c r="CU348" s="9"/>
      <c r="CV348" s="9"/>
      <c r="CW348" s="9"/>
      <c r="CX348" s="9"/>
      <c r="CY348" s="9"/>
      <c r="CZ348" s="9"/>
      <c r="DA348" s="9"/>
      <c r="DB348" s="9"/>
      <c r="DC348" s="9"/>
      <c r="DD348" s="9"/>
      <c r="DE348" s="9"/>
      <c r="DF348" s="9"/>
      <c r="DG348" s="9"/>
      <c r="DH348" s="9"/>
      <c r="DI348" s="9"/>
      <c r="DJ348" s="9"/>
      <c r="DK348" s="9"/>
      <c r="DL348" s="9"/>
      <c r="DM348" s="9"/>
      <c r="DN348" s="9"/>
      <c r="DO348" s="9"/>
      <c r="DP348" s="9"/>
      <c r="DQ348" s="9"/>
      <c r="DR348" s="9"/>
      <c r="DS348" s="9"/>
      <c r="DT348" s="9"/>
      <c r="DU348" s="9"/>
      <c r="DV348" s="9"/>
      <c r="DW348" s="9"/>
      <c r="DX348" s="9"/>
      <c r="DY348" s="9"/>
      <c r="DZ348" s="9"/>
      <c r="EA348" s="9"/>
      <c r="EB348" s="9"/>
      <c r="EC348" s="9"/>
      <c r="ED348" s="9"/>
      <c r="EE348" s="9"/>
      <c r="EF348" s="9"/>
      <c r="EG348" s="9"/>
      <c r="EH348" s="9"/>
      <c r="EI348" s="9"/>
      <c r="EJ348" s="9"/>
      <c r="EK348" s="9"/>
      <c r="EL348" s="9"/>
      <c r="EM348" s="9"/>
      <c r="EN348" s="9"/>
      <c r="EO348" s="9"/>
      <c r="EP348" s="9"/>
      <c r="EQ348" s="9"/>
      <c r="ER348" s="9"/>
      <c r="ES348" s="9"/>
      <c r="ET348" s="9"/>
      <c r="EU348" s="9"/>
      <c r="EV348" s="9"/>
      <c r="EW348" s="9"/>
      <c r="EX348" s="9"/>
      <c r="EY348" s="9"/>
      <c r="EZ348" s="9"/>
      <c r="FA348" s="9"/>
      <c r="FB348" s="9"/>
      <c r="FC348" s="9"/>
      <c r="FD348" s="9"/>
      <c r="FE348" s="9"/>
      <c r="FF348" s="9"/>
      <c r="FG348" s="9"/>
      <c r="FH348" s="9"/>
      <c r="FI348" s="9"/>
    </row>
    <row r="349" spans="1:165" x14ac:dyDescent="0.2">
      <c r="A349" s="1" t="s">
        <v>971</v>
      </c>
      <c r="B349" s="1" t="s">
        <v>972</v>
      </c>
      <c r="C349" s="1" t="s">
        <v>487</v>
      </c>
      <c r="D349" s="1" t="str">
        <f>HYPERLINK("http://eros.fiehnlab.ucdavis.edu:8080/binbase-compound/bin/show/278207?db=rtx5","278207")</f>
        <v>278207</v>
      </c>
      <c r="E349" s="1" t="s">
        <v>973</v>
      </c>
      <c r="F349" s="1" t="s">
        <v>184</v>
      </c>
      <c r="G349" s="1" t="s">
        <v>184</v>
      </c>
      <c r="H349" s="1"/>
      <c r="I349" s="8">
        <v>10578</v>
      </c>
      <c r="J349" s="8">
        <v>7468</v>
      </c>
      <c r="K349" s="8">
        <v>8408</v>
      </c>
      <c r="L349" s="8">
        <v>8623</v>
      </c>
      <c r="M349" s="8">
        <v>13444</v>
      </c>
      <c r="N349" s="8">
        <v>13240</v>
      </c>
      <c r="O349" s="8">
        <v>8740</v>
      </c>
      <c r="P349" s="8">
        <v>8822</v>
      </c>
      <c r="Q349" s="8">
        <v>13762</v>
      </c>
      <c r="R349" s="8">
        <v>20340</v>
      </c>
      <c r="S349" s="8">
        <v>21645</v>
      </c>
      <c r="T349" s="8">
        <v>7175</v>
      </c>
      <c r="U349" s="8">
        <v>14446</v>
      </c>
      <c r="V349" s="8">
        <v>18639</v>
      </c>
      <c r="W349" s="8">
        <v>16358</v>
      </c>
      <c r="X349" s="8">
        <v>12287</v>
      </c>
      <c r="Y349" s="8">
        <v>10147</v>
      </c>
      <c r="Z349" s="8">
        <v>19190</v>
      </c>
      <c r="AA349" s="8">
        <v>8568</v>
      </c>
      <c r="AB349" s="8">
        <v>7358</v>
      </c>
      <c r="AC349" s="8">
        <v>11691</v>
      </c>
      <c r="AD349" s="8">
        <v>6717</v>
      </c>
      <c r="AE349" s="8">
        <v>10991</v>
      </c>
      <c r="AF349" s="8">
        <v>17019</v>
      </c>
      <c r="AG349" s="8">
        <v>6636</v>
      </c>
      <c r="AH349" s="8">
        <v>14225</v>
      </c>
      <c r="AI349" s="8">
        <v>7587</v>
      </c>
      <c r="AJ349" s="8">
        <v>10754</v>
      </c>
      <c r="AK349" s="8">
        <v>10332</v>
      </c>
      <c r="AL349" s="8">
        <v>15169</v>
      </c>
      <c r="AM349" s="8">
        <v>12478</v>
      </c>
      <c r="AN349" s="8">
        <v>22876</v>
      </c>
      <c r="AO349" s="8">
        <v>9599</v>
      </c>
      <c r="AP349" s="8">
        <v>17601</v>
      </c>
      <c r="AQ349" s="8">
        <v>14241</v>
      </c>
      <c r="AR349" s="8">
        <v>17236</v>
      </c>
      <c r="AS349" s="8">
        <v>11254</v>
      </c>
      <c r="AT349" s="8">
        <v>15098</v>
      </c>
      <c r="AU349" s="8">
        <v>8711</v>
      </c>
      <c r="AV349" s="8">
        <v>8764</v>
      </c>
      <c r="AW349" s="8">
        <v>23623</v>
      </c>
      <c r="AX349" s="8">
        <v>12427</v>
      </c>
      <c r="AY349" s="8">
        <v>7664</v>
      </c>
      <c r="AZ349" s="8">
        <v>16022</v>
      </c>
      <c r="BA349" s="8">
        <v>11663</v>
      </c>
      <c r="BB349" s="8">
        <v>11547</v>
      </c>
      <c r="BC349" s="8">
        <v>10084</v>
      </c>
      <c r="BD349" s="8">
        <v>13755</v>
      </c>
      <c r="BE349" s="8">
        <v>12713</v>
      </c>
      <c r="BF349" s="8">
        <v>14699</v>
      </c>
      <c r="BG349" s="8">
        <v>6945</v>
      </c>
      <c r="BH349" s="8">
        <v>6881</v>
      </c>
      <c r="BI349" s="8">
        <v>13024</v>
      </c>
      <c r="BJ349" s="8">
        <v>13041</v>
      </c>
      <c r="BK349" s="8">
        <v>17550</v>
      </c>
      <c r="BL349" s="8">
        <v>10330</v>
      </c>
      <c r="BM349" s="8">
        <v>9621</v>
      </c>
      <c r="BN349" s="8">
        <v>14449</v>
      </c>
      <c r="BO349" s="8">
        <v>16404</v>
      </c>
      <c r="BP349" s="8">
        <v>22474</v>
      </c>
      <c r="BQ349" s="8">
        <v>20369</v>
      </c>
      <c r="BR349" s="8">
        <v>15423</v>
      </c>
      <c r="BS349" s="8">
        <v>16798</v>
      </c>
      <c r="BT349" s="8">
        <v>14474</v>
      </c>
      <c r="BU349" s="8">
        <v>11484</v>
      </c>
      <c r="BV349" s="8">
        <v>17975</v>
      </c>
      <c r="BW349" s="8">
        <v>10421</v>
      </c>
      <c r="BX349" s="8">
        <v>7169</v>
      </c>
      <c r="BY349" s="8">
        <v>7433</v>
      </c>
      <c r="BZ349" s="8">
        <v>11165</v>
      </c>
      <c r="CA349" s="8">
        <v>11424</v>
      </c>
      <c r="CB349" s="8">
        <v>18406</v>
      </c>
      <c r="CC349" s="8">
        <v>22033</v>
      </c>
      <c r="CD349" s="8">
        <v>17625</v>
      </c>
      <c r="CE349" s="8">
        <v>15961</v>
      </c>
      <c r="CF349" s="8">
        <v>6051</v>
      </c>
      <c r="CG349" s="8">
        <v>10349</v>
      </c>
      <c r="CH349" s="8">
        <v>14752</v>
      </c>
      <c r="CJ349" s="9"/>
      <c r="CK349" s="9"/>
      <c r="CL349" s="9"/>
      <c r="CM349" s="9"/>
      <c r="CN349" s="9"/>
      <c r="CO349" s="9"/>
      <c r="CP349" s="9"/>
      <c r="CQ349" s="9"/>
      <c r="CR349" s="9"/>
      <c r="CS349" s="9"/>
      <c r="CT349" s="9"/>
      <c r="CU349" s="9"/>
      <c r="CV349" s="9"/>
      <c r="CW349" s="9"/>
      <c r="CX349" s="9"/>
      <c r="CY349" s="9"/>
      <c r="CZ349" s="9"/>
      <c r="DA349" s="9"/>
      <c r="DB349" s="9"/>
      <c r="DC349" s="9"/>
      <c r="DD349" s="9"/>
      <c r="DE349" s="9"/>
      <c r="DF349" s="9"/>
      <c r="DG349" s="9"/>
      <c r="DH349" s="9"/>
      <c r="DI349" s="9"/>
      <c r="DJ349" s="9"/>
      <c r="DK349" s="9"/>
      <c r="DL349" s="9"/>
      <c r="DM349" s="9"/>
      <c r="DN349" s="9"/>
      <c r="DO349" s="9"/>
      <c r="DP349" s="9"/>
      <c r="DQ349" s="9"/>
      <c r="DR349" s="9"/>
      <c r="DS349" s="9"/>
      <c r="DT349" s="9"/>
      <c r="DU349" s="9"/>
      <c r="DV349" s="9"/>
      <c r="DW349" s="9"/>
      <c r="DX349" s="9"/>
      <c r="DY349" s="9"/>
      <c r="DZ349" s="9"/>
      <c r="EA349" s="9"/>
      <c r="EB349" s="9"/>
      <c r="EC349" s="9"/>
      <c r="ED349" s="9"/>
      <c r="EE349" s="9"/>
      <c r="EF349" s="9"/>
      <c r="EG349" s="9"/>
      <c r="EH349" s="9"/>
      <c r="EI349" s="9"/>
      <c r="EJ349" s="9"/>
      <c r="EK349" s="9"/>
      <c r="EL349" s="9"/>
      <c r="EM349" s="9"/>
      <c r="EN349" s="9"/>
      <c r="EO349" s="9"/>
      <c r="EP349" s="9"/>
      <c r="EQ349" s="9"/>
      <c r="ER349" s="9"/>
      <c r="ES349" s="9"/>
      <c r="ET349" s="9"/>
      <c r="EU349" s="9"/>
      <c r="EV349" s="9"/>
      <c r="EW349" s="9"/>
      <c r="EX349" s="9"/>
      <c r="EY349" s="9"/>
      <c r="EZ349" s="9"/>
      <c r="FA349" s="9"/>
      <c r="FB349" s="9"/>
      <c r="FC349" s="9"/>
      <c r="FD349" s="9"/>
      <c r="FE349" s="9"/>
      <c r="FF349" s="9"/>
      <c r="FG349" s="9"/>
      <c r="FH349" s="9"/>
      <c r="FI349" s="9"/>
    </row>
    <row r="350" spans="1:165" x14ac:dyDescent="0.2">
      <c r="A350" s="1" t="s">
        <v>1397</v>
      </c>
      <c r="B350" s="1" t="s">
        <v>1398</v>
      </c>
      <c r="C350" s="1" t="s">
        <v>462</v>
      </c>
      <c r="D350" s="1" t="str">
        <f>HYPERLINK("http://eros.fiehnlab.ucdavis.edu:8080/binbase-compound/bin/show/199794?db=rtx5","199794")</f>
        <v>199794</v>
      </c>
      <c r="E350" s="1" t="s">
        <v>1399</v>
      </c>
      <c r="F350" s="1" t="s">
        <v>184</v>
      </c>
      <c r="G350" s="1" t="s">
        <v>184</v>
      </c>
      <c r="H350" s="1"/>
      <c r="I350" s="8">
        <v>50</v>
      </c>
      <c r="J350" s="8">
        <v>141</v>
      </c>
      <c r="K350" s="8">
        <v>160</v>
      </c>
      <c r="L350" s="8">
        <v>95</v>
      </c>
      <c r="M350" s="8">
        <v>114</v>
      </c>
      <c r="N350" s="8">
        <v>107</v>
      </c>
      <c r="O350" s="8">
        <v>176</v>
      </c>
      <c r="P350" s="8">
        <v>85</v>
      </c>
      <c r="Q350" s="8">
        <v>49</v>
      </c>
      <c r="R350" s="8">
        <v>83</v>
      </c>
      <c r="S350" s="8">
        <v>112</v>
      </c>
      <c r="T350" s="8">
        <v>118</v>
      </c>
      <c r="U350" s="8">
        <v>155</v>
      </c>
      <c r="V350" s="8">
        <v>70</v>
      </c>
      <c r="W350" s="8">
        <v>88</v>
      </c>
      <c r="X350" s="8">
        <v>77</v>
      </c>
      <c r="Y350" s="8">
        <v>57</v>
      </c>
      <c r="Z350" s="8">
        <v>88</v>
      </c>
      <c r="AA350" s="8">
        <v>446</v>
      </c>
      <c r="AB350" s="8">
        <v>85</v>
      </c>
      <c r="AC350" s="8">
        <v>93</v>
      </c>
      <c r="AD350" s="8">
        <v>115</v>
      </c>
      <c r="AE350" s="8">
        <v>133</v>
      </c>
      <c r="AF350" s="8">
        <v>69</v>
      </c>
      <c r="AG350" s="8">
        <v>104</v>
      </c>
      <c r="AH350" s="8">
        <v>91</v>
      </c>
      <c r="AI350" s="8">
        <v>59</v>
      </c>
      <c r="AJ350" s="8">
        <v>183</v>
      </c>
      <c r="AK350" s="8">
        <v>74</v>
      </c>
      <c r="AL350" s="8">
        <v>122</v>
      </c>
      <c r="AM350" s="8">
        <v>131</v>
      </c>
      <c r="AN350" s="8">
        <v>195</v>
      </c>
      <c r="AO350" s="8">
        <v>118</v>
      </c>
      <c r="AP350" s="8">
        <v>209</v>
      </c>
      <c r="AQ350" s="8">
        <v>89</v>
      </c>
      <c r="AR350" s="8">
        <v>68</v>
      </c>
      <c r="AS350" s="8">
        <v>87</v>
      </c>
      <c r="AT350" s="8">
        <v>105</v>
      </c>
      <c r="AU350" s="8">
        <v>114</v>
      </c>
      <c r="AV350" s="8">
        <v>129</v>
      </c>
      <c r="AW350" s="8">
        <v>105</v>
      </c>
      <c r="AX350" s="8">
        <v>80</v>
      </c>
      <c r="AY350" s="8">
        <v>98</v>
      </c>
      <c r="AZ350" s="8">
        <v>235</v>
      </c>
      <c r="BA350" s="8">
        <v>81</v>
      </c>
      <c r="BB350" s="8">
        <v>92</v>
      </c>
      <c r="BC350" s="8">
        <v>95</v>
      </c>
      <c r="BD350" s="8">
        <v>93</v>
      </c>
      <c r="BE350" s="8">
        <v>125</v>
      </c>
      <c r="BF350" s="8">
        <v>91</v>
      </c>
      <c r="BG350" s="8">
        <v>85</v>
      </c>
      <c r="BH350" s="8">
        <v>96</v>
      </c>
      <c r="BI350" s="8">
        <v>87</v>
      </c>
      <c r="BJ350" s="8">
        <v>69</v>
      </c>
      <c r="BK350" s="8">
        <v>111</v>
      </c>
      <c r="BL350" s="8">
        <v>111</v>
      </c>
      <c r="BM350" s="8">
        <v>115</v>
      </c>
      <c r="BN350" s="8">
        <v>286</v>
      </c>
      <c r="BO350" s="8">
        <v>146</v>
      </c>
      <c r="BP350" s="8">
        <v>86</v>
      </c>
      <c r="BQ350" s="8">
        <v>128</v>
      </c>
      <c r="BR350" s="8">
        <v>128</v>
      </c>
      <c r="BS350" s="8">
        <v>103</v>
      </c>
      <c r="BT350" s="8">
        <v>81</v>
      </c>
      <c r="BU350" s="8">
        <v>80</v>
      </c>
      <c r="BV350" s="8">
        <v>70</v>
      </c>
      <c r="BW350" s="8">
        <v>81</v>
      </c>
      <c r="BX350" s="8">
        <v>103</v>
      </c>
      <c r="BY350" s="8">
        <v>106</v>
      </c>
      <c r="BZ350" s="8">
        <v>88</v>
      </c>
      <c r="CA350" s="8">
        <v>77</v>
      </c>
      <c r="CB350" s="8">
        <v>57</v>
      </c>
      <c r="CC350" s="8">
        <v>150</v>
      </c>
      <c r="CD350" s="8">
        <v>93</v>
      </c>
      <c r="CE350" s="8">
        <v>100</v>
      </c>
      <c r="CF350" s="8">
        <v>110</v>
      </c>
      <c r="CG350" s="8">
        <v>81</v>
      </c>
      <c r="CH350" s="8">
        <v>85</v>
      </c>
      <c r="CJ350" s="9"/>
      <c r="CK350" s="9"/>
      <c r="CL350" s="9"/>
      <c r="CM350" s="9"/>
      <c r="CN350" s="9"/>
      <c r="CO350" s="9"/>
      <c r="CP350" s="9"/>
      <c r="CQ350" s="9"/>
      <c r="CR350" s="9"/>
      <c r="CS350" s="9"/>
      <c r="CT350" s="9"/>
      <c r="CU350" s="9"/>
      <c r="CV350" s="9"/>
      <c r="CW350" s="9"/>
      <c r="CX350" s="9"/>
      <c r="CY350" s="9"/>
      <c r="CZ350" s="9"/>
      <c r="DA350" s="9"/>
      <c r="DB350" s="9"/>
      <c r="DC350" s="9"/>
      <c r="DD350" s="9"/>
      <c r="DE350" s="9"/>
      <c r="DF350" s="9"/>
      <c r="DG350" s="9"/>
      <c r="DH350" s="9"/>
      <c r="DI350" s="9"/>
      <c r="DJ350" s="9"/>
      <c r="DK350" s="9"/>
      <c r="DL350" s="9"/>
      <c r="DM350" s="9"/>
      <c r="DN350" s="9"/>
      <c r="DO350" s="9"/>
      <c r="DP350" s="9"/>
      <c r="DQ350" s="9"/>
      <c r="DR350" s="9"/>
      <c r="DS350" s="9"/>
      <c r="DT350" s="9"/>
      <c r="DU350" s="9"/>
      <c r="DV350" s="9"/>
      <c r="DW350" s="9"/>
      <c r="DX350" s="9"/>
      <c r="DY350" s="9"/>
      <c r="DZ350" s="9"/>
      <c r="EA350" s="9"/>
      <c r="EB350" s="9"/>
      <c r="EC350" s="9"/>
      <c r="ED350" s="9"/>
      <c r="EE350" s="9"/>
      <c r="EF350" s="9"/>
      <c r="EG350" s="9"/>
      <c r="EH350" s="9"/>
      <c r="EI350" s="9"/>
      <c r="EJ350" s="9"/>
      <c r="EK350" s="9"/>
      <c r="EL350" s="9"/>
      <c r="EM350" s="9"/>
      <c r="EN350" s="9"/>
      <c r="EO350" s="9"/>
      <c r="EP350" s="9"/>
      <c r="EQ350" s="9"/>
      <c r="ER350" s="9"/>
      <c r="ES350" s="9"/>
      <c r="ET350" s="9"/>
      <c r="EU350" s="9"/>
      <c r="EV350" s="9"/>
      <c r="EW350" s="9"/>
      <c r="EX350" s="9"/>
      <c r="EY350" s="9"/>
      <c r="EZ350" s="9"/>
      <c r="FA350" s="9"/>
      <c r="FB350" s="9"/>
      <c r="FC350" s="9"/>
      <c r="FD350" s="9"/>
      <c r="FE350" s="9"/>
      <c r="FF350" s="9"/>
      <c r="FG350" s="9"/>
      <c r="FH350" s="9"/>
      <c r="FI350" s="9"/>
    </row>
    <row r="351" spans="1:165" x14ac:dyDescent="0.2">
      <c r="A351" s="1" t="s">
        <v>910</v>
      </c>
      <c r="B351" s="1" t="s">
        <v>911</v>
      </c>
      <c r="C351" s="1" t="s">
        <v>848</v>
      </c>
      <c r="D351" s="1" t="str">
        <f>HYPERLINK("http://eros.fiehnlab.ucdavis.edu:8080/binbase-compound/bin/show/300111?db=rtx5","300111")</f>
        <v>300111</v>
      </c>
      <c r="E351" s="1" t="s">
        <v>912</v>
      </c>
      <c r="F351" s="1" t="s">
        <v>184</v>
      </c>
      <c r="G351" s="1" t="s">
        <v>184</v>
      </c>
      <c r="H351" s="1"/>
      <c r="I351" s="8">
        <v>945</v>
      </c>
      <c r="J351" s="8">
        <v>1020</v>
      </c>
      <c r="K351" s="8">
        <v>724</v>
      </c>
      <c r="L351" s="8">
        <v>755</v>
      </c>
      <c r="M351" s="8">
        <v>1281</v>
      </c>
      <c r="N351" s="8">
        <v>1241</v>
      </c>
      <c r="O351" s="8">
        <v>1009</v>
      </c>
      <c r="P351" s="8">
        <v>898</v>
      </c>
      <c r="Q351" s="8">
        <v>502</v>
      </c>
      <c r="R351" s="8">
        <v>1221</v>
      </c>
      <c r="S351" s="8">
        <v>1271</v>
      </c>
      <c r="T351" s="8">
        <v>1535</v>
      </c>
      <c r="U351" s="8">
        <v>783</v>
      </c>
      <c r="V351" s="8">
        <v>772</v>
      </c>
      <c r="W351" s="8">
        <v>1135</v>
      </c>
      <c r="X351" s="8">
        <v>1340</v>
      </c>
      <c r="Y351" s="8">
        <v>916</v>
      </c>
      <c r="Z351" s="8">
        <v>387</v>
      </c>
      <c r="AA351" s="8">
        <v>531</v>
      </c>
      <c r="AB351" s="8">
        <v>856</v>
      </c>
      <c r="AC351" s="8">
        <v>678</v>
      </c>
      <c r="AD351" s="8">
        <v>793</v>
      </c>
      <c r="AE351" s="8">
        <v>1191</v>
      </c>
      <c r="AF351" s="8">
        <v>789</v>
      </c>
      <c r="AG351" s="8">
        <v>543</v>
      </c>
      <c r="AH351" s="8">
        <v>835</v>
      </c>
      <c r="AI351" s="8">
        <v>635</v>
      </c>
      <c r="AJ351" s="8">
        <v>1458</v>
      </c>
      <c r="AK351" s="8">
        <v>900</v>
      </c>
      <c r="AL351" s="8">
        <v>1228</v>
      </c>
      <c r="AM351" s="8">
        <v>1287</v>
      </c>
      <c r="AN351" s="8">
        <v>920</v>
      </c>
      <c r="AO351" s="8">
        <v>979</v>
      </c>
      <c r="AP351" s="8">
        <v>1551</v>
      </c>
      <c r="AQ351" s="8">
        <v>1263</v>
      </c>
      <c r="AR351" s="8">
        <v>393</v>
      </c>
      <c r="AS351" s="8">
        <v>848</v>
      </c>
      <c r="AT351" s="8">
        <v>999</v>
      </c>
      <c r="AU351" s="8">
        <v>850</v>
      </c>
      <c r="AV351" s="8">
        <v>827</v>
      </c>
      <c r="AW351" s="8">
        <v>1428</v>
      </c>
      <c r="AX351" s="8">
        <v>1122</v>
      </c>
      <c r="AY351" s="8">
        <v>868</v>
      </c>
      <c r="AZ351" s="8">
        <v>1139</v>
      </c>
      <c r="BA351" s="8">
        <v>1115</v>
      </c>
      <c r="BB351" s="8">
        <v>1636</v>
      </c>
      <c r="BC351" s="8">
        <v>1539</v>
      </c>
      <c r="BD351" s="8">
        <v>1269</v>
      </c>
      <c r="BE351" s="8">
        <v>753</v>
      </c>
      <c r="BF351" s="8">
        <v>586</v>
      </c>
      <c r="BG351" s="8">
        <v>806</v>
      </c>
      <c r="BH351" s="8">
        <v>945</v>
      </c>
      <c r="BI351" s="8">
        <v>946</v>
      </c>
      <c r="BJ351" s="8">
        <v>1096</v>
      </c>
      <c r="BK351" s="8">
        <v>1035</v>
      </c>
      <c r="BL351" s="8">
        <v>1046</v>
      </c>
      <c r="BM351" s="8">
        <v>1096</v>
      </c>
      <c r="BN351" s="8">
        <v>1054</v>
      </c>
      <c r="BO351" s="8">
        <v>1143</v>
      </c>
      <c r="BP351" s="8">
        <v>1338</v>
      </c>
      <c r="BQ351" s="8">
        <v>969</v>
      </c>
      <c r="BR351" s="8">
        <v>740</v>
      </c>
      <c r="BS351" s="8">
        <v>708</v>
      </c>
      <c r="BT351" s="8">
        <v>963</v>
      </c>
      <c r="BU351" s="8">
        <v>903</v>
      </c>
      <c r="BV351" s="8">
        <v>703</v>
      </c>
      <c r="BW351" s="8">
        <v>1072</v>
      </c>
      <c r="BX351" s="8">
        <v>856</v>
      </c>
      <c r="BY351" s="8">
        <v>817</v>
      </c>
      <c r="BZ351" s="8">
        <v>1257</v>
      </c>
      <c r="CA351" s="8">
        <v>1117</v>
      </c>
      <c r="CB351" s="8">
        <v>1005</v>
      </c>
      <c r="CC351" s="8">
        <v>720</v>
      </c>
      <c r="CD351" s="8">
        <v>567</v>
      </c>
      <c r="CE351" s="8">
        <v>820</v>
      </c>
      <c r="CF351" s="8">
        <v>564</v>
      </c>
      <c r="CG351" s="8">
        <v>1075</v>
      </c>
      <c r="CH351" s="8">
        <v>1283</v>
      </c>
      <c r="CJ351" s="9"/>
      <c r="CK351" s="9"/>
      <c r="CL351" s="9"/>
      <c r="CM351" s="9"/>
      <c r="CN351" s="9"/>
      <c r="CO351" s="9"/>
      <c r="CP351" s="9"/>
      <c r="CQ351" s="9"/>
      <c r="CR351" s="9"/>
      <c r="CS351" s="9"/>
      <c r="CT351" s="9"/>
      <c r="CU351" s="9"/>
      <c r="CV351" s="9"/>
      <c r="CW351" s="9"/>
      <c r="CX351" s="9"/>
      <c r="CY351" s="9"/>
      <c r="CZ351" s="9"/>
      <c r="DA351" s="9"/>
      <c r="DB351" s="9"/>
      <c r="DC351" s="9"/>
      <c r="DD351" s="9"/>
      <c r="DE351" s="9"/>
      <c r="DF351" s="9"/>
      <c r="DG351" s="9"/>
      <c r="DH351" s="9"/>
      <c r="DI351" s="9"/>
      <c r="DJ351" s="9"/>
      <c r="DK351" s="9"/>
      <c r="DL351" s="9"/>
      <c r="DM351" s="9"/>
      <c r="DN351" s="9"/>
      <c r="DO351" s="9"/>
      <c r="DP351" s="9"/>
      <c r="DQ351" s="9"/>
      <c r="DR351" s="9"/>
      <c r="DS351" s="9"/>
      <c r="DT351" s="9"/>
      <c r="DU351" s="9"/>
      <c r="DV351" s="9"/>
      <c r="DW351" s="9"/>
      <c r="DX351" s="9"/>
      <c r="DY351" s="9"/>
      <c r="DZ351" s="9"/>
      <c r="EA351" s="9"/>
      <c r="EB351" s="9"/>
      <c r="EC351" s="9"/>
      <c r="ED351" s="9"/>
      <c r="EE351" s="9"/>
      <c r="EF351" s="9"/>
      <c r="EG351" s="9"/>
      <c r="EH351" s="9"/>
      <c r="EI351" s="9"/>
      <c r="EJ351" s="9"/>
      <c r="EK351" s="9"/>
      <c r="EL351" s="9"/>
      <c r="EM351" s="9"/>
      <c r="EN351" s="9"/>
      <c r="EO351" s="9"/>
      <c r="EP351" s="9"/>
      <c r="EQ351" s="9"/>
      <c r="ER351" s="9"/>
      <c r="ES351" s="9"/>
      <c r="ET351" s="9"/>
      <c r="EU351" s="9"/>
      <c r="EV351" s="9"/>
      <c r="EW351" s="9"/>
      <c r="EX351" s="9"/>
      <c r="EY351" s="9"/>
      <c r="EZ351" s="9"/>
      <c r="FA351" s="9"/>
      <c r="FB351" s="9"/>
      <c r="FC351" s="9"/>
      <c r="FD351" s="9"/>
      <c r="FE351" s="9"/>
      <c r="FF351" s="9"/>
      <c r="FG351" s="9"/>
      <c r="FH351" s="9"/>
      <c r="FI351" s="9"/>
    </row>
    <row r="352" spans="1:165" x14ac:dyDescent="0.2">
      <c r="A352" s="1" t="s">
        <v>1140</v>
      </c>
      <c r="B352" s="1" t="s">
        <v>1141</v>
      </c>
      <c r="C352" s="1" t="s">
        <v>317</v>
      </c>
      <c r="D352" s="1" t="str">
        <f>HYPERLINK("http://eros.fiehnlab.ucdavis.edu:8080/binbase-compound/bin/show/228179?db=rtx5","228179")</f>
        <v>228179</v>
      </c>
      <c r="E352" s="1" t="s">
        <v>1142</v>
      </c>
      <c r="F352" s="1" t="s">
        <v>184</v>
      </c>
      <c r="G352" s="1" t="s">
        <v>184</v>
      </c>
      <c r="H352" s="1"/>
      <c r="I352" s="8">
        <v>11957</v>
      </c>
      <c r="J352" s="8">
        <v>1395</v>
      </c>
      <c r="K352" s="8">
        <v>502</v>
      </c>
      <c r="L352" s="8">
        <v>700</v>
      </c>
      <c r="M352" s="8">
        <v>1482</v>
      </c>
      <c r="N352" s="8">
        <v>1333</v>
      </c>
      <c r="O352" s="8">
        <v>197</v>
      </c>
      <c r="P352" s="8">
        <v>157</v>
      </c>
      <c r="Q352" s="8">
        <v>174</v>
      </c>
      <c r="R352" s="8">
        <v>215</v>
      </c>
      <c r="S352" s="8">
        <v>213</v>
      </c>
      <c r="T352" s="8">
        <v>152</v>
      </c>
      <c r="U352" s="8">
        <v>109</v>
      </c>
      <c r="V352" s="8">
        <v>197</v>
      </c>
      <c r="W352" s="8">
        <v>8831</v>
      </c>
      <c r="X352" s="8">
        <v>280</v>
      </c>
      <c r="Y352" s="8">
        <v>186</v>
      </c>
      <c r="Z352" s="8">
        <v>206</v>
      </c>
      <c r="AA352" s="8">
        <v>6554</v>
      </c>
      <c r="AB352" s="8">
        <v>154</v>
      </c>
      <c r="AC352" s="8">
        <v>145</v>
      </c>
      <c r="AD352" s="8">
        <v>144</v>
      </c>
      <c r="AE352" s="8">
        <v>10785</v>
      </c>
      <c r="AF352" s="8">
        <v>193</v>
      </c>
      <c r="AG352" s="8">
        <v>6814</v>
      </c>
      <c r="AH352" s="8">
        <v>160</v>
      </c>
      <c r="AI352" s="8">
        <v>174</v>
      </c>
      <c r="AJ352" s="8">
        <v>12379</v>
      </c>
      <c r="AK352" s="8">
        <v>215</v>
      </c>
      <c r="AL352" s="8">
        <v>261</v>
      </c>
      <c r="AM352" s="8">
        <v>195</v>
      </c>
      <c r="AN352" s="8">
        <v>194</v>
      </c>
      <c r="AO352" s="8">
        <v>230</v>
      </c>
      <c r="AP352" s="8">
        <v>12595</v>
      </c>
      <c r="AQ352" s="8">
        <v>258</v>
      </c>
      <c r="AR352" s="8">
        <v>163</v>
      </c>
      <c r="AS352" s="8">
        <v>10052</v>
      </c>
      <c r="AT352" s="8">
        <v>170</v>
      </c>
      <c r="AU352" s="8">
        <v>170</v>
      </c>
      <c r="AV352" s="8">
        <v>118</v>
      </c>
      <c r="AW352" s="8">
        <v>9288</v>
      </c>
      <c r="AX352" s="8">
        <v>183</v>
      </c>
      <c r="AY352" s="8">
        <v>215</v>
      </c>
      <c r="AZ352" s="8">
        <v>11957</v>
      </c>
      <c r="BA352" s="8">
        <v>173</v>
      </c>
      <c r="BB352" s="8">
        <v>207</v>
      </c>
      <c r="BC352" s="8">
        <v>203</v>
      </c>
      <c r="BD352" s="8">
        <v>266</v>
      </c>
      <c r="BE352" s="8">
        <v>10285</v>
      </c>
      <c r="BF352" s="8">
        <v>190</v>
      </c>
      <c r="BG352" s="8">
        <v>122</v>
      </c>
      <c r="BH352" s="8">
        <v>139</v>
      </c>
      <c r="BI352" s="8">
        <v>175</v>
      </c>
      <c r="BJ352" s="8">
        <v>178</v>
      </c>
      <c r="BK352" s="8">
        <v>131</v>
      </c>
      <c r="BL352" s="8">
        <v>174</v>
      </c>
      <c r="BM352" s="8">
        <v>195</v>
      </c>
      <c r="BN352" s="8">
        <v>7983</v>
      </c>
      <c r="BO352" s="8">
        <v>11644</v>
      </c>
      <c r="BP352" s="8">
        <v>11658</v>
      </c>
      <c r="BQ352" s="8">
        <v>9987</v>
      </c>
      <c r="BR352" s="8">
        <v>11196</v>
      </c>
      <c r="BS352" s="8">
        <v>168</v>
      </c>
      <c r="BT352" s="8">
        <v>207</v>
      </c>
      <c r="BU352" s="8">
        <v>257</v>
      </c>
      <c r="BV352" s="8">
        <v>161</v>
      </c>
      <c r="BW352" s="8">
        <v>10758</v>
      </c>
      <c r="BX352" s="8">
        <v>134</v>
      </c>
      <c r="BY352" s="8">
        <v>150</v>
      </c>
      <c r="BZ352" s="8">
        <v>9624</v>
      </c>
      <c r="CA352" s="8">
        <v>221</v>
      </c>
      <c r="CB352" s="8">
        <v>134</v>
      </c>
      <c r="CC352" s="8">
        <v>208</v>
      </c>
      <c r="CD352" s="8">
        <v>197</v>
      </c>
      <c r="CE352" s="8">
        <v>157</v>
      </c>
      <c r="CF352" s="8">
        <v>120</v>
      </c>
      <c r="CG352" s="8">
        <v>8480</v>
      </c>
      <c r="CH352" s="8">
        <v>175</v>
      </c>
      <c r="CJ352" s="9"/>
      <c r="CK352" s="9"/>
      <c r="CL352" s="9"/>
      <c r="CM352" s="9"/>
      <c r="CN352" s="9"/>
      <c r="CO352" s="9"/>
      <c r="CP352" s="9"/>
      <c r="CQ352" s="9"/>
      <c r="CR352" s="9"/>
      <c r="CS352" s="9"/>
      <c r="CT352" s="9"/>
      <c r="CU352" s="9"/>
      <c r="CV352" s="9"/>
      <c r="CW352" s="9"/>
      <c r="CX352" s="9"/>
      <c r="CY352" s="9"/>
      <c r="CZ352" s="9"/>
      <c r="DA352" s="9"/>
      <c r="DB352" s="9"/>
      <c r="DC352" s="9"/>
      <c r="DD352" s="9"/>
      <c r="DE352" s="9"/>
      <c r="DF352" s="9"/>
      <c r="DG352" s="9"/>
      <c r="DH352" s="9"/>
      <c r="DI352" s="9"/>
      <c r="DJ352" s="9"/>
      <c r="DK352" s="9"/>
      <c r="DL352" s="9"/>
      <c r="DM352" s="9"/>
      <c r="DN352" s="9"/>
      <c r="DO352" s="9"/>
      <c r="DP352" s="9"/>
      <c r="DQ352" s="9"/>
      <c r="DR352" s="9"/>
      <c r="DS352" s="9"/>
      <c r="DT352" s="9"/>
      <c r="DU352" s="9"/>
      <c r="DV352" s="9"/>
      <c r="DW352" s="9"/>
      <c r="DX352" s="9"/>
      <c r="DY352" s="9"/>
      <c r="DZ352" s="9"/>
      <c r="EA352" s="9"/>
      <c r="EB352" s="9"/>
      <c r="EC352" s="9"/>
      <c r="ED352" s="9"/>
      <c r="EE352" s="9"/>
      <c r="EF352" s="9"/>
      <c r="EG352" s="9"/>
      <c r="EH352" s="9"/>
      <c r="EI352" s="9"/>
      <c r="EJ352" s="9"/>
      <c r="EK352" s="9"/>
      <c r="EL352" s="9"/>
      <c r="EM352" s="9"/>
      <c r="EN352" s="9"/>
      <c r="EO352" s="9"/>
      <c r="EP352" s="9"/>
      <c r="EQ352" s="9"/>
      <c r="ER352" s="9"/>
      <c r="ES352" s="9"/>
      <c r="ET352" s="9"/>
      <c r="EU352" s="9"/>
      <c r="EV352" s="9"/>
      <c r="EW352" s="9"/>
      <c r="EX352" s="9"/>
      <c r="EY352" s="9"/>
      <c r="EZ352" s="9"/>
      <c r="FA352" s="9"/>
      <c r="FB352" s="9"/>
      <c r="FC352" s="9"/>
      <c r="FD352" s="9"/>
      <c r="FE352" s="9"/>
      <c r="FF352" s="9"/>
      <c r="FG352" s="9"/>
      <c r="FH352" s="9"/>
      <c r="FI352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norm 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Oliver</dc:creator>
  <cp:lastModifiedBy>user</cp:lastModifiedBy>
  <dcterms:created xsi:type="dcterms:W3CDTF">2011-09-17T17:45:34Z</dcterms:created>
  <dcterms:modified xsi:type="dcterms:W3CDTF">2016-04-13T21:22:41Z</dcterms:modified>
</cp:coreProperties>
</file>